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liezls\Desktop\SASCeTS Conference 2022\"/>
    </mc:Choice>
  </mc:AlternateContent>
  <xr:revisionPtr revIDLastSave="0" documentId="13_ncr:1_{0DB53E61-B16E-491C-96EB-3BE86DB080C0}" xr6:coauthVersionLast="45" xr6:coauthVersionMax="47" xr10:uidLastSave="{00000000-0000-0000-0000-000000000000}"/>
  <bookViews>
    <workbookView xWindow="-120" yWindow="-120" windowWidth="19440" windowHeight="10440" firstSheet="1" activeTab="4" xr2:uid="{00000000-000D-0000-FFFF-FFFF00000000}"/>
  </bookViews>
  <sheets>
    <sheet name="00000" sheetId="4" state="veryHidden" r:id="rId1"/>
    <sheet name="Sheet2" sheetId="7" state="hidden" r:id="rId2"/>
    <sheet name="Front Page" sheetId="5" r:id="rId3"/>
    <sheet name="Balance Sheet" sheetId="1" r:id="rId4"/>
    <sheet name="Income Statement" sheetId="2" r:id="rId5"/>
    <sheet name="Sheet1" sheetId="6" state="hidden" r:id="rId6"/>
  </sheets>
  <definedNames>
    <definedName name="_Order1" hidden="1">255</definedName>
    <definedName name="_xlnm.Print_Area" localSheetId="3">'Balance Sheet'!$A$1:$AH$41</definedName>
    <definedName name="_xlnm.Print_Area" localSheetId="2">'Front Page'!$A$1:$L$55</definedName>
    <definedName name="_xlnm.Print_Area" localSheetId="4">'Income Statement'!$A$1:$AU$60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" i="2" l="1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25" i="2"/>
  <c r="J11" i="2"/>
  <c r="G35" i="1" l="1"/>
  <c r="G15" i="1"/>
  <c r="G22" i="1" s="1"/>
  <c r="L31" i="2"/>
  <c r="L21" i="2"/>
  <c r="J26" i="2"/>
  <c r="J24" i="2"/>
  <c r="K35" i="1"/>
  <c r="K15" i="1"/>
  <c r="K22" i="1" s="1"/>
  <c r="R31" i="2"/>
  <c r="R21" i="2"/>
  <c r="M17" i="1"/>
  <c r="O21" i="2"/>
  <c r="O31" i="2"/>
  <c r="U21" i="2"/>
  <c r="U31" i="2"/>
  <c r="X21" i="2"/>
  <c r="X31" i="2"/>
  <c r="AA21" i="2"/>
  <c r="AA31" i="2"/>
  <c r="AD21" i="2"/>
  <c r="AD31" i="2"/>
  <c r="AG21" i="2"/>
  <c r="AG31" i="2"/>
  <c r="AJ21" i="2"/>
  <c r="AJ31" i="2"/>
  <c r="AM21" i="2"/>
  <c r="AM31" i="2"/>
  <c r="AP21" i="2"/>
  <c r="AP31" i="2"/>
  <c r="AT21" i="2"/>
  <c r="AT31" i="2"/>
  <c r="I15" i="1"/>
  <c r="I22" i="1" s="1"/>
  <c r="I35" i="1"/>
  <c r="D17" i="7"/>
  <c r="O17" i="1"/>
  <c r="O15" i="1"/>
  <c r="O22" i="1" s="1"/>
  <c r="J50" i="2"/>
  <c r="M35" i="1"/>
  <c r="M15" i="1"/>
  <c r="M22" i="1" s="1"/>
  <c r="Q15" i="1"/>
  <c r="Q22" i="1" s="1"/>
  <c r="Q35" i="1"/>
  <c r="T35" i="1"/>
  <c r="T15" i="1"/>
  <c r="T22" i="1" s="1"/>
  <c r="W35" i="1"/>
  <c r="W15" i="1"/>
  <c r="W22" i="1"/>
  <c r="Z35" i="1"/>
  <c r="Z15" i="1"/>
  <c r="Z22" i="1" s="1"/>
  <c r="AB35" i="1"/>
  <c r="AB15" i="1"/>
  <c r="AB22" i="1" s="1"/>
  <c r="AD35" i="1"/>
  <c r="AD15" i="1"/>
  <c r="AD22" i="1"/>
  <c r="AG35" i="1"/>
  <c r="AG15" i="1"/>
  <c r="AG22" i="1" s="1"/>
  <c r="F2" i="1"/>
  <c r="J2" i="2"/>
  <c r="A1" i="2"/>
  <c r="A1" i="1" s="1"/>
  <c r="AG17" i="2"/>
  <c r="J17" i="2" s="1"/>
  <c r="AT13" i="2"/>
  <c r="J13" i="2" s="1"/>
  <c r="AT14" i="2"/>
  <c r="J14" i="2" s="1"/>
  <c r="AT15" i="2"/>
  <c r="J15" i="2" s="1"/>
  <c r="AT16" i="2"/>
  <c r="J16" i="2" s="1"/>
  <c r="O35" i="1"/>
  <c r="AI15" i="1"/>
  <c r="AI22" i="1" s="1"/>
  <c r="AV49" i="2"/>
  <c r="AV31" i="2" s="1"/>
  <c r="AV26" i="2"/>
  <c r="AV21" i="2" s="1"/>
  <c r="AV11" i="2"/>
  <c r="AI35" i="1"/>
  <c r="AF17" i="1"/>
  <c r="AF21" i="1"/>
  <c r="AS55" i="2"/>
  <c r="AS26" i="2"/>
  <c r="AS21" i="2" s="1"/>
  <c r="AS11" i="2" s="1"/>
  <c r="AS43" i="2"/>
  <c r="AS42" i="2"/>
  <c r="AS31" i="2" s="1"/>
  <c r="AU15" i="1"/>
  <c r="AU13" i="1"/>
  <c r="AU35" i="1"/>
  <c r="AU46" i="1" s="1"/>
  <c r="AU29" i="1"/>
  <c r="AT49" i="1"/>
  <c r="AS49" i="1"/>
  <c r="AR49" i="1"/>
  <c r="AQ49" i="1"/>
  <c r="AP49" i="1"/>
  <c r="AO49" i="1"/>
  <c r="AN49" i="1"/>
  <c r="AM49" i="1"/>
  <c r="AK49" i="1"/>
  <c r="AL49" i="1"/>
  <c r="AJ49" i="1"/>
  <c r="AV13" i="1"/>
  <c r="AV15" i="1"/>
  <c r="AV35" i="1"/>
  <c r="AV46" i="1"/>
  <c r="AV29" i="1"/>
  <c r="AV22" i="1"/>
  <c r="AW42" i="1"/>
  <c r="AW35" i="1" s="1"/>
  <c r="AW13" i="1"/>
  <c r="AW15" i="1"/>
  <c r="AW29" i="1"/>
  <c r="AX13" i="1"/>
  <c r="AX15" i="1"/>
  <c r="AX35" i="1"/>
  <c r="AX29" i="1"/>
  <c r="AY13" i="1"/>
  <c r="AY15" i="1"/>
  <c r="AY35" i="1"/>
  <c r="AY29" i="1"/>
  <c r="AZ13" i="1"/>
  <c r="AZ15" i="1"/>
  <c r="AZ35" i="1"/>
  <c r="AZ29" i="1"/>
  <c r="AZ46" i="1" s="1"/>
  <c r="BA13" i="1"/>
  <c r="BA15" i="1"/>
  <c r="BA35" i="1"/>
  <c r="BA29" i="1"/>
  <c r="BE13" i="1"/>
  <c r="BE15" i="1"/>
  <c r="BE29" i="1"/>
  <c r="BE36" i="1"/>
  <c r="BE35" i="1" s="1"/>
  <c r="BE22" i="1"/>
  <c r="BC13" i="1"/>
  <c r="BC15" i="1"/>
  <c r="BC35" i="1"/>
  <c r="BC29" i="1"/>
  <c r="BG36" i="1"/>
  <c r="BG35" i="1"/>
  <c r="BG46" i="1" s="1"/>
  <c r="BG29" i="1"/>
  <c r="BG13" i="1"/>
  <c r="BG22" i="1" s="1"/>
  <c r="BG15" i="1"/>
  <c r="BI36" i="1"/>
  <c r="BI35" i="1"/>
  <c r="BI29" i="1"/>
  <c r="BI13" i="1"/>
  <c r="BI15" i="1"/>
  <c r="BK20" i="1"/>
  <c r="BK15" i="1" s="1"/>
  <c r="BK22" i="1" s="1"/>
  <c r="BK13" i="1"/>
  <c r="BK36" i="1"/>
  <c r="BK35" i="1" s="1"/>
  <c r="BK46" i="1" s="1"/>
  <c r="BK29" i="1"/>
  <c r="BM36" i="1"/>
  <c r="BM35" i="1"/>
  <c r="BM46" i="1" s="1"/>
  <c r="BM29" i="1"/>
  <c r="BM13" i="1"/>
  <c r="BM22" i="1" s="1"/>
  <c r="BM15" i="1"/>
  <c r="BO13" i="1"/>
  <c r="BO35" i="1"/>
  <c r="BO46" i="1" s="1"/>
  <c r="BO29" i="1"/>
  <c r="BO15" i="1"/>
  <c r="BO22" i="1"/>
  <c r="BQ13" i="1"/>
  <c r="BQ35" i="1"/>
  <c r="BQ46" i="1" s="1"/>
  <c r="BQ29" i="1"/>
  <c r="BQ15" i="1"/>
  <c r="BQ22" i="1" s="1"/>
  <c r="BS35" i="1"/>
  <c r="BS29" i="1"/>
  <c r="BS15" i="1"/>
  <c r="BS13" i="1"/>
  <c r="BU35" i="1"/>
  <c r="BU29" i="1"/>
  <c r="BU15" i="1"/>
  <c r="BU22" i="1" s="1"/>
  <c r="BU13" i="1"/>
  <c r="BW13" i="1"/>
  <c r="BW35" i="1"/>
  <c r="BW29" i="1"/>
  <c r="BW15" i="1"/>
  <c r="BY13" i="1"/>
  <c r="BY35" i="1"/>
  <c r="BY46" i="1" s="1"/>
  <c r="BY29" i="1"/>
  <c r="BY15" i="1"/>
  <c r="CA13" i="1"/>
  <c r="CA35" i="1"/>
  <c r="CA46" i="1" s="1"/>
  <c r="CA50" i="1" s="1"/>
  <c r="CA29" i="1"/>
  <c r="CA15" i="1"/>
  <c r="CA22" i="1" s="1"/>
  <c r="CC35" i="1"/>
  <c r="CC29" i="1"/>
  <c r="CC15" i="1"/>
  <c r="CC22" i="1"/>
  <c r="CC13" i="1"/>
  <c r="CC46" i="1"/>
  <c r="CC50" i="1" s="1"/>
  <c r="CU13" i="1"/>
  <c r="CU35" i="1"/>
  <c r="CU29" i="1"/>
  <c r="CU15" i="1"/>
  <c r="CU22" i="1" s="1"/>
  <c r="CW13" i="1"/>
  <c r="CW35" i="1"/>
  <c r="CW29" i="1"/>
  <c r="CW46" i="1"/>
  <c r="CW15" i="1"/>
  <c r="CY13" i="1"/>
  <c r="DA13" i="1"/>
  <c r="CY35" i="1"/>
  <c r="CY46" i="1" s="1"/>
  <c r="CY29" i="1"/>
  <c r="CY15" i="1"/>
  <c r="DA35" i="1"/>
  <c r="DA29" i="1"/>
  <c r="DA15" i="1"/>
  <c r="DA22" i="1" s="1"/>
  <c r="DA50" i="1" s="1"/>
  <c r="DC42" i="1"/>
  <c r="DC35" i="1" s="1"/>
  <c r="DC46" i="1" s="1"/>
  <c r="DC29" i="1"/>
  <c r="DC15" i="1"/>
  <c r="DC22" i="1" s="1"/>
  <c r="DC13" i="1"/>
  <c r="DE42" i="1"/>
  <c r="DE35" i="1" s="1"/>
  <c r="DE13" i="1"/>
  <c r="DE29" i="1"/>
  <c r="DE15" i="1"/>
  <c r="DG13" i="1"/>
  <c r="DG35" i="1"/>
  <c r="DG29" i="1"/>
  <c r="DG15" i="1"/>
  <c r="DG22" i="1" s="1"/>
  <c r="DI13" i="1"/>
  <c r="DI35" i="1"/>
  <c r="DI46" i="1" s="1"/>
  <c r="DI29" i="1"/>
  <c r="DI15" i="1"/>
  <c r="DI22" i="1" s="1"/>
  <c r="DM35" i="1"/>
  <c r="DM29" i="1"/>
  <c r="DM15" i="1"/>
  <c r="DM22" i="1"/>
  <c r="DK13" i="1"/>
  <c r="DK35" i="1"/>
  <c r="DK29" i="1"/>
  <c r="DK15" i="1"/>
  <c r="DK22" i="1" s="1"/>
  <c r="DO42" i="1"/>
  <c r="DO13" i="1"/>
  <c r="DO22" i="1" s="1"/>
  <c r="DO36" i="1"/>
  <c r="DO35" i="1" s="1"/>
  <c r="DO29" i="1"/>
  <c r="DO15" i="1"/>
  <c r="DQ36" i="1"/>
  <c r="DQ35" i="1" s="1"/>
  <c r="DQ46" i="1" s="1"/>
  <c r="DQ29" i="1"/>
  <c r="DQ13" i="1"/>
  <c r="DQ15" i="1"/>
  <c r="DS36" i="1"/>
  <c r="DS35" i="1" s="1"/>
  <c r="DS46" i="1" s="1"/>
  <c r="DS29" i="1"/>
  <c r="DS13" i="1"/>
  <c r="DS15" i="1"/>
  <c r="DS22" i="1" s="1"/>
  <c r="DU13" i="1"/>
  <c r="DU35" i="1"/>
  <c r="DU46" i="1" s="1"/>
  <c r="DU29" i="1"/>
  <c r="DU15" i="1"/>
  <c r="DU22" i="1" s="1"/>
  <c r="DW13" i="1"/>
  <c r="DW22" i="1" s="1"/>
  <c r="DW35" i="1"/>
  <c r="DW29" i="1"/>
  <c r="DW46" i="1" s="1"/>
  <c r="DW50" i="1" s="1"/>
  <c r="DW15" i="1"/>
  <c r="DY13" i="1"/>
  <c r="DY35" i="1"/>
  <c r="DY29" i="1"/>
  <c r="DY15" i="1"/>
  <c r="DY22" i="1"/>
  <c r="EA13" i="1"/>
  <c r="EA35" i="1"/>
  <c r="EA46" i="1" s="1"/>
  <c r="EA29" i="1"/>
  <c r="EA15" i="1"/>
  <c r="CS29" i="1"/>
  <c r="CS35" i="1"/>
  <c r="CS15" i="1"/>
  <c r="CS22" i="1" s="1"/>
  <c r="CQ29" i="1"/>
  <c r="CQ46" i="1" s="1"/>
  <c r="CQ35" i="1"/>
  <c r="CQ15" i="1"/>
  <c r="CQ22" i="1" s="1"/>
  <c r="CO29" i="1"/>
  <c r="CO35" i="1"/>
  <c r="CO15" i="1"/>
  <c r="CO22" i="1" s="1"/>
  <c r="CM29" i="1"/>
  <c r="CM46" i="1" s="1"/>
  <c r="CM35" i="1"/>
  <c r="CM15" i="1"/>
  <c r="CM22" i="1" s="1"/>
  <c r="CK29" i="1"/>
  <c r="CK35" i="1"/>
  <c r="CK15" i="1"/>
  <c r="CK22" i="1" s="1"/>
  <c r="CI29" i="1"/>
  <c r="CI46" i="1" s="1"/>
  <c r="CI35" i="1"/>
  <c r="CI15" i="1"/>
  <c r="CI22" i="1" s="1"/>
  <c r="CG29" i="1"/>
  <c r="CG46" i="1" s="1"/>
  <c r="CG35" i="1"/>
  <c r="CG15" i="1"/>
  <c r="CG22" i="1" s="1"/>
  <c r="CE29" i="1"/>
  <c r="CE46" i="1" s="1"/>
  <c r="CE35" i="1"/>
  <c r="CE15" i="1"/>
  <c r="CE22" i="1" s="1"/>
  <c r="BC22" i="1"/>
  <c r="BA22" i="1"/>
  <c r="DK46" i="1"/>
  <c r="DE22" i="1"/>
  <c r="BY22" i="1"/>
  <c r="BW22" i="1"/>
  <c r="BU46" i="1"/>
  <c r="BS46" i="1"/>
  <c r="DY46" i="1"/>
  <c r="DY50" i="1" s="1"/>
  <c r="CO46" i="1"/>
  <c r="CU46" i="1"/>
  <c r="CS46" i="1"/>
  <c r="DA46" i="1"/>
  <c r="DG46" i="1"/>
  <c r="AY46" i="1"/>
  <c r="AX46" i="1"/>
  <c r="AU22" i="1"/>
  <c r="L55" i="2" l="1"/>
  <c r="AM55" i="2"/>
  <c r="AV55" i="2"/>
  <c r="AV57" i="2" s="1"/>
  <c r="AI30" i="1" s="1"/>
  <c r="AI29" i="1" s="1"/>
  <c r="AI40" i="1" s="1"/>
  <c r="AI42" i="1" s="1"/>
  <c r="AJ55" i="2"/>
  <c r="AD55" i="2"/>
  <c r="X55" i="2"/>
  <c r="O55" i="2"/>
  <c r="DC50" i="1"/>
  <c r="CI50" i="1"/>
  <c r="BY50" i="1"/>
  <c r="CG50" i="1"/>
  <c r="CQ50" i="1"/>
  <c r="DG50" i="1"/>
  <c r="EA22" i="1"/>
  <c r="EA50" i="1" s="1"/>
  <c r="DQ22" i="1"/>
  <c r="DQ50" i="1" s="1"/>
  <c r="DO46" i="1"/>
  <c r="DO50" i="1" s="1"/>
  <c r="DE46" i="1"/>
  <c r="DE50" i="1" s="1"/>
  <c r="CY22" i="1"/>
  <c r="BI22" i="1"/>
  <c r="BC46" i="1"/>
  <c r="BC49" i="1" s="1"/>
  <c r="BE46" i="1"/>
  <c r="BE49" i="1" s="1"/>
  <c r="BA46" i="1"/>
  <c r="BA49" i="1" s="1"/>
  <c r="AZ22" i="1"/>
  <c r="AZ49" i="1" s="1"/>
  <c r="AY22" i="1"/>
  <c r="AY49" i="1" s="1"/>
  <c r="AX22" i="1"/>
  <c r="AX49" i="1" s="1"/>
  <c r="AW46" i="1"/>
  <c r="CS50" i="1"/>
  <c r="CO50" i="1"/>
  <c r="DU50" i="1"/>
  <c r="AV49" i="1"/>
  <c r="CE50" i="1"/>
  <c r="CK46" i="1"/>
  <c r="CK50" i="1" s="1"/>
  <c r="DM46" i="1"/>
  <c r="DM50" i="1" s="1"/>
  <c r="CW22" i="1"/>
  <c r="CW50" i="1" s="1"/>
  <c r="BW46" i="1"/>
  <c r="BW50" i="1" s="1"/>
  <c r="BS22" i="1"/>
  <c r="BI46" i="1"/>
  <c r="AW22" i="1"/>
  <c r="CU50" i="1"/>
  <c r="AU49" i="1"/>
  <c r="CY50" i="1"/>
  <c r="DK50" i="1"/>
  <c r="CM50" i="1"/>
  <c r="DI50" i="1"/>
  <c r="DS50" i="1"/>
  <c r="AW49" i="1"/>
  <c r="R55" i="2"/>
  <c r="AG55" i="2"/>
  <c r="AA55" i="2"/>
  <c r="AP55" i="2"/>
  <c r="U55" i="2"/>
  <c r="AT55" i="2"/>
  <c r="AT57" i="2" s="1"/>
  <c r="AG30" i="1" s="1"/>
  <c r="AG29" i="1" s="1"/>
  <c r="AG40" i="1" s="1"/>
  <c r="J31" i="2"/>
  <c r="AP56" i="2" l="1"/>
  <c r="AP57" i="2" s="1"/>
  <c r="AM56" i="2" s="1"/>
  <c r="AM57" i="2" s="1"/>
  <c r="J55" i="2"/>
  <c r="J57" i="2" s="1"/>
  <c r="AG42" i="1"/>
  <c r="AG41" i="1"/>
  <c r="AD30" i="1" l="1"/>
  <c r="AD29" i="1" s="1"/>
  <c r="AD40" i="1" s="1"/>
  <c r="AD42" i="1" s="1"/>
  <c r="AB30" i="1"/>
  <c r="AB29" i="1" s="1"/>
  <c r="AB40" i="1" s="1"/>
  <c r="AJ56" i="2"/>
  <c r="AJ57" i="2" s="1"/>
  <c r="AD41" i="1" l="1"/>
  <c r="AG56" i="2"/>
  <c r="AG57" i="2" s="1"/>
  <c r="Z30" i="1"/>
  <c r="Z29" i="1" s="1"/>
  <c r="Z40" i="1" s="1"/>
  <c r="AB42" i="1"/>
  <c r="AB41" i="1"/>
  <c r="Z41" i="1" l="1"/>
  <c r="Z42" i="1"/>
  <c r="W30" i="1"/>
  <c r="W29" i="1" s="1"/>
  <c r="W40" i="1" s="1"/>
  <c r="AD56" i="2"/>
  <c r="AD57" i="2" s="1"/>
  <c r="T30" i="1" l="1"/>
  <c r="T29" i="1" s="1"/>
  <c r="T40" i="1" s="1"/>
  <c r="AA56" i="2"/>
  <c r="AA57" i="2" s="1"/>
  <c r="W41" i="1"/>
  <c r="W42" i="1"/>
  <c r="Q30" i="1" l="1"/>
  <c r="Q29" i="1" s="1"/>
  <c r="Q40" i="1" s="1"/>
  <c r="X56" i="2"/>
  <c r="X57" i="2" s="1"/>
  <c r="T42" i="1"/>
  <c r="T41" i="1"/>
  <c r="U56" i="2" l="1"/>
  <c r="U57" i="2" s="1"/>
  <c r="R56" i="2" s="1"/>
  <c r="R57" i="2" s="1"/>
  <c r="O30" i="1"/>
  <c r="O29" i="1" s="1"/>
  <c r="O40" i="1" s="1"/>
  <c r="Q41" i="1"/>
  <c r="Q42" i="1"/>
  <c r="K30" i="1" l="1"/>
  <c r="K29" i="1" s="1"/>
  <c r="K40" i="1" s="1"/>
  <c r="K41" i="1" s="1"/>
  <c r="O56" i="2"/>
  <c r="O57" i="2" s="1"/>
  <c r="L56" i="2" s="1"/>
  <c r="L57" i="2" s="1"/>
  <c r="G30" i="1" s="1"/>
  <c r="G29" i="1" s="1"/>
  <c r="G40" i="1" s="1"/>
  <c r="O42" i="1"/>
  <c r="O41" i="1"/>
  <c r="M30" i="1"/>
  <c r="M29" i="1" s="1"/>
  <c r="M40" i="1" s="1"/>
  <c r="G42" i="1" l="1"/>
  <c r="G41" i="1"/>
  <c r="K42" i="1"/>
  <c r="I30" i="1"/>
  <c r="I29" i="1" s="1"/>
  <c r="I40" i="1" s="1"/>
  <c r="M41" i="1"/>
  <c r="M42" i="1"/>
  <c r="I41" i="1" l="1"/>
  <c r="I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Adelle Coertze</author>
  </authors>
  <commentList>
    <comment ref="AT24" authorId="0" shapeId="0" xr:uid="{00000000-0006-0000-0400-000001000000}">
      <text>
        <r>
          <rPr>
            <b/>
            <sz val="9"/>
            <color indexed="81"/>
            <rFont val="Arial"/>
            <family val="2"/>
          </rPr>
          <t>Adelle Coertze:</t>
        </r>
        <r>
          <rPr>
            <sz val="9"/>
            <color indexed="81"/>
            <rFont val="Arial"/>
            <family val="2"/>
          </rPr>
          <t xml:space="preserve">
Scattelings</t>
        </r>
      </text>
    </comment>
    <comment ref="U42" authorId="0" shapeId="0" xr:uid="{00000000-0006-0000-0400-000002000000}">
      <text>
        <r>
          <rPr>
            <b/>
            <sz val="9"/>
            <color rgb="FF000000"/>
            <rFont val="Arial"/>
            <family val="2"/>
          </rPr>
          <t>Adelle Coertze: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 xml:space="preserve">C Fredericks 5000
</t>
        </r>
        <r>
          <rPr>
            <sz val="9"/>
            <color rgb="FF000000"/>
            <rFont val="Arial"/>
            <family val="2"/>
          </rPr>
          <t>Clink 4600</t>
        </r>
      </text>
    </comment>
    <comment ref="X42" authorId="0" shapeId="0" xr:uid="{00000000-0006-0000-0400-000003000000}">
      <text>
        <r>
          <rPr>
            <b/>
            <sz val="9"/>
            <color indexed="8"/>
            <rFont val="Arial"/>
            <family val="2"/>
          </rPr>
          <t>Adelle Coertze:</t>
        </r>
        <r>
          <rPr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 xml:space="preserve">C Fredericks
</t>
        </r>
      </text>
    </comment>
    <comment ref="AP42" authorId="0" shapeId="0" xr:uid="{00000000-0006-0000-0400-000004000000}">
      <text>
        <r>
          <rPr>
            <b/>
            <sz val="9"/>
            <color indexed="81"/>
            <rFont val="Arial"/>
            <family val="2"/>
          </rPr>
          <t>Adelle Coertze:</t>
        </r>
        <r>
          <rPr>
            <sz val="9"/>
            <color indexed="81"/>
            <rFont val="Arial"/>
            <family val="2"/>
          </rPr>
          <t xml:space="preserve">
C Fredericks</t>
        </r>
      </text>
    </comment>
  </commentList>
</comments>
</file>

<file path=xl/sharedStrings.xml><?xml version="1.0" encoding="utf-8"?>
<sst xmlns="http://schemas.openxmlformats.org/spreadsheetml/2006/main" count="292" uniqueCount="158">
  <si>
    <t>R</t>
  </si>
  <si>
    <t/>
  </si>
  <si>
    <t>September</t>
  </si>
  <si>
    <t>Augustus</t>
  </si>
  <si>
    <t>Julie</t>
  </si>
  <si>
    <t>Junie</t>
  </si>
  <si>
    <t>Mei</t>
  </si>
  <si>
    <t>April</t>
  </si>
  <si>
    <t>Maart</t>
  </si>
  <si>
    <t xml:space="preserve">Februarie </t>
  </si>
  <si>
    <t>August</t>
  </si>
  <si>
    <t>October</t>
  </si>
  <si>
    <t>November</t>
  </si>
  <si>
    <t>December</t>
  </si>
  <si>
    <t xml:space="preserve">January </t>
  </si>
  <si>
    <t xml:space="preserve">February </t>
  </si>
  <si>
    <t>March</t>
  </si>
  <si>
    <t>May</t>
  </si>
  <si>
    <t>June</t>
  </si>
  <si>
    <t>July</t>
  </si>
  <si>
    <t>January</t>
  </si>
  <si>
    <t>February</t>
  </si>
  <si>
    <t>Aug</t>
  </si>
  <si>
    <t>Sep</t>
  </si>
  <si>
    <t>Oct</t>
  </si>
  <si>
    <t>Nov</t>
  </si>
  <si>
    <t>Dec</t>
  </si>
  <si>
    <t>Jan</t>
  </si>
  <si>
    <t>Feb</t>
  </si>
  <si>
    <t>Mrt</t>
  </si>
  <si>
    <t>Apr</t>
  </si>
  <si>
    <t>Jun</t>
  </si>
  <si>
    <t>Jul</t>
  </si>
  <si>
    <t>L/Ass-Wilgers Onco Consult</t>
  </si>
  <si>
    <t>S/Debt-L/A Other 8</t>
  </si>
  <si>
    <t>S/Debt-L/A Renal</t>
  </si>
  <si>
    <t>ASSETS</t>
  </si>
  <si>
    <t>Non-current assets</t>
  </si>
  <si>
    <t>Current assets</t>
  </si>
  <si>
    <t>Total assets</t>
  </si>
  <si>
    <t>EQUITY AND LIABILITIES</t>
  </si>
  <si>
    <t>Non-current liabilities</t>
  </si>
  <si>
    <t>Current liabilities</t>
  </si>
  <si>
    <t>Sundry creditors</t>
  </si>
  <si>
    <t>YTD</t>
  </si>
  <si>
    <t>Actual</t>
  </si>
  <si>
    <t>Budget</t>
  </si>
  <si>
    <t>EXPENSES</t>
  </si>
  <si>
    <t>Bank charges</t>
  </si>
  <si>
    <t>MEMBERSHIP FEES</t>
  </si>
  <si>
    <t>- Registrars</t>
  </si>
  <si>
    <t>- Fulltime Private Practice</t>
  </si>
  <si>
    <t>- Limited Private Practice</t>
  </si>
  <si>
    <t>- Fulltime Hospital Practice</t>
  </si>
  <si>
    <t>OTHER INCOME</t>
  </si>
  <si>
    <t>Consulting Fees</t>
  </si>
  <si>
    <t>Entertainment Expenses</t>
  </si>
  <si>
    <t>Travel &amp; Accommodation</t>
  </si>
  <si>
    <t>Retained Income</t>
  </si>
  <si>
    <t xml:space="preserve"> ACCUMULATED PROFIT/(LOSS)</t>
  </si>
  <si>
    <t>PROFIT/(LOSS) FOR THE PERIOD</t>
  </si>
  <si>
    <t xml:space="preserve"> TOTALPROFIT/(LOSS)</t>
  </si>
  <si>
    <t>Sundry Debtors</t>
  </si>
  <si>
    <t xml:space="preserve"> Customer Control Account</t>
  </si>
  <si>
    <t>Capital and Reserves</t>
  </si>
  <si>
    <t>Total Equity and Liabilities</t>
  </si>
  <si>
    <t>Mar 09 - Feb 10</t>
  </si>
  <si>
    <t>Conference Income</t>
  </si>
  <si>
    <t>Average</t>
  </si>
  <si>
    <t xml:space="preserve">Average </t>
  </si>
  <si>
    <t>Mar 12 - Feb 13</t>
  </si>
  <si>
    <t>- Other/Affiliated Groups</t>
  </si>
  <si>
    <t>Mar 11 - Feb 12</t>
  </si>
  <si>
    <t>Mar 13 -  Feb 14</t>
  </si>
  <si>
    <t>Subscriptions</t>
  </si>
  <si>
    <t>Mar 13 - Feb 14</t>
  </si>
  <si>
    <t>Current Bank Account</t>
  </si>
  <si>
    <t>Interest received - Current Account</t>
  </si>
  <si>
    <t>Mar 14 - Feb 15</t>
  </si>
  <si>
    <t>Audit Fees</t>
  </si>
  <si>
    <t>Mar 15 - Feb 16</t>
  </si>
  <si>
    <t>Bad Debts</t>
  </si>
  <si>
    <t>Computer/Website Expenses</t>
  </si>
  <si>
    <t>Advertising &amp; Publishing</t>
  </si>
  <si>
    <t>Mar 16 -  Feb 17</t>
  </si>
  <si>
    <t>Past 2 Year</t>
  </si>
  <si>
    <t>Mar 17 - Feb 18</t>
  </si>
  <si>
    <t>Administration Fee</t>
  </si>
  <si>
    <t>Mar 17 -  Feb 18</t>
  </si>
  <si>
    <t>SA STEM CELL TRANSPLANTATION SOCIETY</t>
  </si>
  <si>
    <t>(SASCeTS)</t>
  </si>
  <si>
    <t>MANAGEMENT ACCOUNTS FOR PERIOD ENDING</t>
  </si>
  <si>
    <t>Statement of Comprehensive Income for the period</t>
  </si>
  <si>
    <t>Mar 10 - Feb 11</t>
  </si>
  <si>
    <t>Sponsorship</t>
  </si>
  <si>
    <t>Accounting</t>
  </si>
  <si>
    <t xml:space="preserve">Statement of Financial Position as at </t>
  </si>
  <si>
    <t>Questions</t>
  </si>
  <si>
    <t>Sponshorship Income for 2018 - R209060</t>
  </si>
  <si>
    <t>How should we handle this.</t>
  </si>
  <si>
    <t>Need to go through billing list - suggest this in 2020</t>
  </si>
  <si>
    <t>Membership paid in 2019 = R40750, billed R118750</t>
  </si>
  <si>
    <t>(This system will generate debtors, not previously on statements</t>
  </si>
  <si>
    <t>Bank balance 31/8 = R536839</t>
  </si>
  <si>
    <t>Nothing paid over?</t>
  </si>
  <si>
    <t>For 2019 = R180000. Nothing paid over?</t>
  </si>
  <si>
    <t>Lslump did Manual invoices - how should we handle this, time to sort out after conference.</t>
  </si>
  <si>
    <t>No conference income, except 2011, and now the surplus of R40k???</t>
  </si>
  <si>
    <t>Doesn’t correlate with what I've heard you said?</t>
  </si>
  <si>
    <t>Sponshorship</t>
  </si>
  <si>
    <t>Sponsorship Payable</t>
  </si>
  <si>
    <t>Conference expenses</t>
  </si>
  <si>
    <t>Points to discuss on 27/2/2019</t>
  </si>
  <si>
    <t>A</t>
  </si>
  <si>
    <t>CONFERENCE</t>
  </si>
  <si>
    <t>Per Delegate</t>
  </si>
  <si>
    <t>Management</t>
  </si>
  <si>
    <t>PROFESSIONAL CONFERENCE ORGANISING</t>
  </si>
  <si>
    <t>PROFIT/LOSS</t>
  </si>
  <si>
    <t>EXHIBITION MANAGEMENT</t>
  </si>
  <si>
    <t>Exhibition Management Fee</t>
  </si>
  <si>
    <t>SPONSORSHIP MANAGEMENT</t>
  </si>
  <si>
    <t>Sponsorship Co-ordination Fee</t>
  </si>
  <si>
    <t>Symposium Exp - Management Fee</t>
  </si>
  <si>
    <t>Tech AV - Plenary</t>
  </si>
  <si>
    <t>CONFERENCE &amp; VENUE</t>
  </si>
  <si>
    <t>CONFERENCE COLLATERAL</t>
  </si>
  <si>
    <t>Courier</t>
  </si>
  <si>
    <t>Is this acceptable?</t>
  </si>
  <si>
    <t>SPEAKER FEES&amp;TRAVEL</t>
  </si>
  <si>
    <t xml:space="preserve">Dr Carbone extremely high, should this </t>
  </si>
  <si>
    <t>be part of SASCETS</t>
  </si>
  <si>
    <t>SASCETS ADMIN</t>
  </si>
  <si>
    <t>R48788.21 2017 income still outstanding</t>
  </si>
  <si>
    <t>Is there any other income outstanding - Prof Nic?</t>
  </si>
  <si>
    <t>Tax Exemption outstanding</t>
  </si>
  <si>
    <t>- Utility:  Novitzky, Moodley, Brittain</t>
  </si>
  <si>
    <t>- Signature:   Brittain, Moodley</t>
  </si>
  <si>
    <t>- Tax Nr:   Novitzky, Moodley</t>
  </si>
  <si>
    <t>Signed financial statement</t>
  </si>
  <si>
    <t>May I go ahead to change Prof Novitzky to Dr Brittain</t>
  </si>
  <si>
    <t>Sage Pay, need proof of address, email addresses and cellphone nr</t>
  </si>
  <si>
    <t>Company</t>
  </si>
  <si>
    <t>- Statement compiled, not reviewed/audit - could have effect (report to members)</t>
  </si>
  <si>
    <t>- ASA change to MOI, wait for quotation</t>
  </si>
  <si>
    <t xml:space="preserve">      Sascets income from Conference is significant, this is not donation</t>
  </si>
  <si>
    <t>- Asked for formal opinion about excemption after email from Mike.</t>
  </si>
  <si>
    <t>Mar 18 - Feb 19</t>
  </si>
  <si>
    <t>Mar 18 -  Feb 19</t>
  </si>
  <si>
    <t>Meeting Expenses</t>
  </si>
  <si>
    <t>Training Fees</t>
  </si>
  <si>
    <t>Mar 19 - Feb 20</t>
  </si>
  <si>
    <t>Mar 19 -  Feb 20</t>
  </si>
  <si>
    <t>Mar 20 - Feb 21</t>
  </si>
  <si>
    <t>Mar 20 -  Feb 21</t>
  </si>
  <si>
    <t>Honorarium Fee</t>
  </si>
  <si>
    <t>Mar 21 - Feb 22</t>
  </si>
  <si>
    <t>Mar 21-  Feb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</si>
</sst>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 * #,##0.00_ ;_ * \-#,##0.00_ ;_ * &quot;-&quot;??_ ;_ @_ "/>
    <numFmt numFmtId="164" formatCode="_(* #,##0.00_);_(* \(#,##0.00\);_(* &quot;-&quot;??_);_(@_)"/>
    <numFmt numFmtId="165" formatCode="0.0000%"/>
    <numFmt numFmtId="166" formatCode="#,##0.00;[Red]\(#,##0.00\)"/>
    <numFmt numFmtId="167" formatCode="#,##0.000;[Red]\(#,##0.000\)"/>
    <numFmt numFmtId="168" formatCode="#,##0.0000;[Red]\(#,##0.0000\)"/>
    <numFmt numFmtId="169" formatCode="mmmm\-yy"/>
    <numFmt numFmtId="170" formatCode="#,##0.0000_);\(#,##0.0000\)"/>
    <numFmt numFmtId="171" formatCode="m/d"/>
    <numFmt numFmtId="172" formatCode="#,##0&quot;£&quot;_);\(#,##0&quot;£&quot;\)"/>
    <numFmt numFmtId="173" formatCode="#,##0\ &quot;F&quot;;[Red]\-#,##0\ &quot;F&quot;"/>
    <numFmt numFmtId="174" formatCode="#,##0.00\ &quot;F&quot;;\-#,##0.00\ &quot;F&quot;"/>
    <numFmt numFmtId="175" formatCode="[$-F800]dddd\,\ mmmm\ dd\,\ yyyy"/>
  </numFmts>
  <fonts count="29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indexed="10"/>
      <name val="Arial Narrow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22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u/>
      <sz val="14"/>
      <color indexed="8"/>
      <name val="Arial"/>
      <family val="2"/>
    </font>
    <font>
      <b/>
      <sz val="18"/>
      <name val="Arial"/>
      <family val="2"/>
    </font>
    <font>
      <sz val="16"/>
      <color indexed="8"/>
      <name val="Arial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4"/>
      <color rgb="FFFF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5">
    <xf numFmtId="0" fontId="0" fillId="0" borderId="0"/>
    <xf numFmtId="43" fontId="1" fillId="0" borderId="0" applyFill="0" applyBorder="0" applyAlignment="0"/>
    <xf numFmtId="166" fontId="1" fillId="0" borderId="0" applyFill="0" applyBorder="0" applyAlignment="0"/>
    <xf numFmtId="167" fontId="1" fillId="0" borderId="0" applyFill="0" applyBorder="0" applyAlignment="0"/>
    <xf numFmtId="168" fontId="1" fillId="0" borderId="0" applyFill="0" applyBorder="0" applyAlignment="0"/>
    <xf numFmtId="169" fontId="1" fillId="0" borderId="0" applyFill="0" applyBorder="0" applyAlignment="0"/>
    <xf numFmtId="43" fontId="1" fillId="0" borderId="0" applyFill="0" applyBorder="0" applyAlignment="0"/>
    <xf numFmtId="170" fontId="1" fillId="0" borderId="0" applyFill="0" applyBorder="0" applyAlignment="0"/>
    <xf numFmtId="166" fontId="1" fillId="0" borderId="0" applyFill="0" applyBorder="0" applyAlignment="0"/>
    <xf numFmtId="43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4" fontId="3" fillId="0" borderId="0" applyFill="0" applyBorder="0" applyAlignment="0"/>
    <xf numFmtId="43" fontId="1" fillId="0" borderId="0" applyFill="0" applyBorder="0" applyAlignment="0"/>
    <xf numFmtId="166" fontId="1" fillId="0" borderId="0" applyFill="0" applyBorder="0" applyAlignment="0"/>
    <xf numFmtId="43" fontId="1" fillId="0" borderId="0" applyFill="0" applyBorder="0" applyAlignment="0"/>
    <xf numFmtId="170" fontId="1" fillId="0" borderId="0" applyFill="0" applyBorder="0" applyAlignment="0"/>
    <xf numFmtId="166" fontId="1" fillId="0" borderId="0" applyFill="0" applyBorder="0" applyAlignment="0"/>
    <xf numFmtId="38" fontId="4" fillId="2" borderId="0" applyNumberFormat="0" applyBorder="0" applyAlignment="0" applyProtection="0"/>
    <xf numFmtId="0" fontId="2" fillId="0" borderId="1" applyNumberFormat="0" applyAlignment="0" applyProtection="0">
      <alignment horizontal="left" vertical="center"/>
    </xf>
    <xf numFmtId="0" fontId="2" fillId="0" borderId="2">
      <alignment horizontal="left" vertical="center"/>
    </xf>
    <xf numFmtId="10" fontId="4" fillId="3" borderId="3" applyNumberFormat="0" applyBorder="0" applyAlignment="0" applyProtection="0"/>
    <xf numFmtId="43" fontId="1" fillId="0" borderId="0" applyFill="0" applyBorder="0" applyAlignment="0"/>
    <xf numFmtId="166" fontId="1" fillId="0" borderId="0" applyFill="0" applyBorder="0" applyAlignment="0"/>
    <xf numFmtId="43" fontId="1" fillId="0" borderId="0" applyFill="0" applyBorder="0" applyAlignment="0"/>
    <xf numFmtId="170" fontId="1" fillId="0" borderId="0" applyFill="0" applyBorder="0" applyAlignment="0"/>
    <xf numFmtId="166" fontId="1" fillId="0" borderId="0" applyFill="0" applyBorder="0" applyAlignment="0"/>
    <xf numFmtId="173" fontId="1" fillId="0" borderId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43" fontId="1" fillId="0" borderId="0" applyFill="0" applyBorder="0" applyAlignment="0"/>
    <xf numFmtId="166" fontId="1" fillId="0" borderId="0" applyFill="0" applyBorder="0" applyAlignment="0"/>
    <xf numFmtId="43" fontId="1" fillId="0" borderId="0" applyFill="0" applyBorder="0" applyAlignment="0"/>
    <xf numFmtId="170" fontId="1" fillId="0" borderId="0" applyFill="0" applyBorder="0" applyAlignment="0"/>
    <xf numFmtId="166" fontId="1" fillId="0" borderId="0" applyFill="0" applyBorder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9" fontId="3" fillId="0" borderId="0" applyFill="0" applyBorder="0" applyAlignment="0"/>
    <xf numFmtId="171" fontId="1" fillId="0" borderId="0" applyFill="0" applyBorder="0" applyAlignment="0"/>
    <xf numFmtId="172" fontId="1" fillId="0" borderId="0" applyFill="0" applyBorder="0" applyAlignment="0"/>
    <xf numFmtId="0" fontId="6" fillId="0" borderId="0">
      <alignment vertical="top"/>
    </xf>
  </cellStyleXfs>
  <cellXfs count="185">
    <xf numFmtId="0" fontId="0" fillId="0" borderId="0" xfId="0"/>
    <xf numFmtId="10" fontId="8" fillId="0" borderId="0" xfId="37" applyNumberFormat="1" applyFont="1" applyFill="1"/>
    <xf numFmtId="43" fontId="10" fillId="0" borderId="0" xfId="9" applyFont="1" applyFill="1"/>
    <xf numFmtId="164" fontId="8" fillId="0" borderId="0" xfId="19" applyFont="1" applyFill="1" applyAlignment="1">
      <alignment horizontal="center" vertical="center"/>
    </xf>
    <xf numFmtId="10" fontId="8" fillId="0" borderId="0" xfId="37" applyNumberFormat="1" applyFont="1" applyFill="1" applyAlignment="1">
      <alignment horizontal="center" vertical="center"/>
    </xf>
    <xf numFmtId="10" fontId="8" fillId="0" borderId="0" xfId="37" applyNumberFormat="1" applyFont="1" applyFill="1" applyAlignment="1" applyProtection="1">
      <alignment horizontal="center" vertical="center"/>
    </xf>
    <xf numFmtId="164" fontId="8" fillId="0" borderId="0" xfId="19" applyFont="1" applyFill="1"/>
    <xf numFmtId="10" fontId="11" fillId="0" borderId="0" xfId="37" applyNumberFormat="1" applyFont="1" applyFill="1" applyAlignment="1" applyProtection="1">
      <alignment horizontal="center" vertical="center"/>
    </xf>
    <xf numFmtId="10" fontId="10" fillId="0" borderId="0" xfId="37" applyNumberFormat="1" applyFont="1" applyFill="1" applyAlignment="1" applyProtection="1">
      <alignment horizontal="center" vertical="center"/>
    </xf>
    <xf numFmtId="164" fontId="9" fillId="0" borderId="0" xfId="19" applyFont="1" applyFill="1" applyAlignment="1">
      <alignment horizontal="center" vertical="center"/>
    </xf>
    <xf numFmtId="10" fontId="12" fillId="0" borderId="0" xfId="37" applyNumberFormat="1" applyFont="1" applyFill="1" applyAlignment="1" applyProtection="1">
      <alignment horizontal="center" vertical="center"/>
    </xf>
    <xf numFmtId="10" fontId="13" fillId="0" borderId="0" xfId="37" applyNumberFormat="1" applyFont="1" applyFill="1" applyAlignment="1" applyProtection="1">
      <alignment horizontal="center" vertical="center"/>
    </xf>
    <xf numFmtId="164" fontId="14" fillId="0" borderId="0" xfId="19" applyFont="1" applyFill="1" applyAlignment="1">
      <alignment horizontal="center" vertical="center"/>
    </xf>
    <xf numFmtId="10" fontId="14" fillId="0" borderId="0" xfId="37" applyNumberFormat="1" applyFont="1" applyFill="1" applyAlignment="1" applyProtection="1">
      <alignment horizontal="center" vertical="center"/>
    </xf>
    <xf numFmtId="10" fontId="7" fillId="0" borderId="0" xfId="37" applyNumberFormat="1" applyFont="1" applyFill="1" applyAlignment="1">
      <alignment horizontal="center" vertical="center"/>
    </xf>
    <xf numFmtId="10" fontId="13" fillId="0" borderId="0" xfId="37" applyNumberFormat="1" applyFont="1" applyFill="1" applyAlignment="1">
      <alignment horizontal="center" vertical="center"/>
    </xf>
    <xf numFmtId="164" fontId="14" fillId="0" borderId="0" xfId="19" applyFont="1" applyFill="1"/>
    <xf numFmtId="10" fontId="9" fillId="0" borderId="0" xfId="37" applyNumberFormat="1" applyFont="1" applyFill="1" applyAlignment="1" applyProtection="1">
      <alignment horizontal="center" vertical="center"/>
    </xf>
    <xf numFmtId="164" fontId="10" fillId="0" borderId="0" xfId="19" applyFont="1" applyFill="1" applyAlignment="1">
      <alignment horizontal="center" vertical="center"/>
    </xf>
    <xf numFmtId="10" fontId="8" fillId="0" borderId="0" xfId="37" quotePrefix="1" applyNumberFormat="1" applyFont="1" applyFill="1" applyAlignment="1" applyProtection="1">
      <alignment horizontal="center" vertical="center"/>
    </xf>
    <xf numFmtId="43" fontId="11" fillId="0" borderId="0" xfId="9" applyFont="1" applyFill="1"/>
    <xf numFmtId="10" fontId="11" fillId="0" borderId="0" xfId="37" applyNumberFormat="1" applyFont="1" applyFill="1" applyProtection="1"/>
    <xf numFmtId="43" fontId="11" fillId="0" borderId="4" xfId="9" applyFont="1" applyFill="1" applyBorder="1"/>
    <xf numFmtId="10" fontId="11" fillId="0" borderId="4" xfId="37" applyNumberFormat="1" applyFont="1" applyFill="1" applyBorder="1" applyProtection="1"/>
    <xf numFmtId="10" fontId="11" fillId="0" borderId="0" xfId="37" applyNumberFormat="1" applyFont="1" applyFill="1"/>
    <xf numFmtId="43" fontId="10" fillId="0" borderId="0" xfId="9" applyFont="1" applyFill="1" applyAlignment="1">
      <alignment horizontal="center"/>
    </xf>
    <xf numFmtId="10" fontId="10" fillId="0" borderId="0" xfId="37" applyNumberFormat="1" applyFont="1" applyFill="1" applyAlignment="1" applyProtection="1">
      <alignment horizontal="center"/>
    </xf>
    <xf numFmtId="10" fontId="11" fillId="0" borderId="0" xfId="37" applyNumberFormat="1" applyFont="1" applyFill="1" applyAlignment="1" applyProtection="1">
      <alignment horizontal="center"/>
    </xf>
    <xf numFmtId="164" fontId="11" fillId="0" borderId="0" xfId="9" applyNumberFormat="1" applyFont="1" applyFill="1"/>
    <xf numFmtId="43" fontId="11" fillId="0" borderId="0" xfId="9" applyFont="1" applyFill="1" applyAlignment="1">
      <alignment horizontal="fill"/>
    </xf>
    <xf numFmtId="43" fontId="11" fillId="0" borderId="0" xfId="9" applyFont="1" applyFill="1" applyBorder="1"/>
    <xf numFmtId="43" fontId="11" fillId="0" borderId="0" xfId="9" applyFont="1" applyFill="1" applyBorder="1" applyAlignment="1" applyProtection="1">
      <alignment horizontal="center"/>
    </xf>
    <xf numFmtId="43" fontId="11" fillId="0" borderId="5" xfId="9" applyFont="1" applyFill="1" applyBorder="1" applyProtection="1"/>
    <xf numFmtId="43" fontId="11" fillId="0" borderId="0" xfId="9" applyFont="1" applyFill="1" applyBorder="1" applyProtection="1"/>
    <xf numFmtId="43" fontId="11" fillId="0" borderId="0" xfId="9" applyFont="1" applyFill="1" applyAlignment="1" applyProtection="1">
      <alignment horizontal="center"/>
    </xf>
    <xf numFmtId="43" fontId="11" fillId="0" borderId="0" xfId="9" applyFont="1" applyFill="1" applyProtection="1"/>
    <xf numFmtId="43" fontId="11" fillId="0" borderId="6" xfId="9" applyFont="1" applyFill="1" applyBorder="1" applyProtection="1"/>
    <xf numFmtId="43" fontId="11" fillId="0" borderId="7" xfId="9" applyFont="1" applyFill="1" applyBorder="1" applyProtection="1"/>
    <xf numFmtId="43" fontId="11" fillId="0" borderId="8" xfId="9" applyFont="1" applyFill="1" applyBorder="1" applyProtection="1"/>
    <xf numFmtId="43" fontId="11" fillId="0" borderId="9" xfId="9" applyFont="1" applyFill="1" applyBorder="1" applyProtection="1"/>
    <xf numFmtId="43" fontId="11" fillId="0" borderId="10" xfId="9" applyFont="1" applyFill="1" applyBorder="1" applyProtection="1"/>
    <xf numFmtId="43" fontId="11" fillId="0" borderId="11" xfId="9" applyFont="1" applyFill="1" applyBorder="1" applyProtection="1"/>
    <xf numFmtId="43" fontId="11" fillId="0" borderId="12" xfId="9" applyFont="1" applyFill="1" applyBorder="1" applyProtection="1"/>
    <xf numFmtId="43" fontId="11" fillId="0" borderId="13" xfId="9" applyFont="1" applyFill="1" applyBorder="1" applyProtection="1"/>
    <xf numFmtId="43" fontId="11" fillId="0" borderId="0" xfId="9" applyNumberFormat="1" applyFont="1" applyFill="1" applyBorder="1" applyProtection="1"/>
    <xf numFmtId="10" fontId="11" fillId="0" borderId="0" xfId="37" applyNumberFormat="1" applyFont="1" applyFill="1" applyBorder="1"/>
    <xf numFmtId="0" fontId="15" fillId="0" borderId="0" xfId="0" applyFont="1"/>
    <xf numFmtId="43" fontId="11" fillId="0" borderId="11" xfId="9" applyNumberFormat="1" applyFont="1" applyFill="1" applyBorder="1" applyProtection="1"/>
    <xf numFmtId="10" fontId="11" fillId="4" borderId="0" xfId="37" applyNumberFormat="1" applyFont="1" applyFill="1" applyProtection="1"/>
    <xf numFmtId="43" fontId="11" fillId="4" borderId="0" xfId="37" applyNumberFormat="1" applyFont="1" applyFill="1" applyProtection="1"/>
    <xf numFmtId="43" fontId="11" fillId="4" borderId="0" xfId="9" applyFont="1" applyFill="1"/>
    <xf numFmtId="10" fontId="11" fillId="4" borderId="4" xfId="37" applyNumberFormat="1" applyFont="1" applyFill="1" applyBorder="1" applyProtection="1"/>
    <xf numFmtId="43" fontId="11" fillId="4" borderId="4" xfId="37" applyNumberFormat="1" applyFont="1" applyFill="1" applyBorder="1" applyProtection="1"/>
    <xf numFmtId="43" fontId="11" fillId="4" borderId="0" xfId="9" applyFont="1" applyFill="1" applyBorder="1"/>
    <xf numFmtId="17" fontId="10" fillId="0" borderId="0" xfId="9" applyNumberFormat="1" applyFont="1" applyFill="1" applyAlignment="1">
      <alignment horizontal="center"/>
    </xf>
    <xf numFmtId="10" fontId="10" fillId="4" borderId="0" xfId="37" applyNumberFormat="1" applyFont="1" applyFill="1" applyAlignment="1">
      <alignment horizontal="center"/>
    </xf>
    <xf numFmtId="10" fontId="10" fillId="0" borderId="0" xfId="37" quotePrefix="1" applyNumberFormat="1" applyFont="1" applyFill="1" applyAlignment="1" applyProtection="1">
      <alignment horizontal="center"/>
    </xf>
    <xf numFmtId="10" fontId="10" fillId="4" borderId="0" xfId="37" applyNumberFormat="1" applyFont="1" applyFill="1" applyAlignment="1" applyProtection="1">
      <alignment horizontal="center"/>
    </xf>
    <xf numFmtId="43" fontId="10" fillId="4" borderId="0" xfId="37" quotePrefix="1" applyNumberFormat="1" applyFont="1" applyFill="1" applyAlignment="1" applyProtection="1">
      <alignment horizontal="center"/>
    </xf>
    <xf numFmtId="1" fontId="10" fillId="4" borderId="0" xfId="37" applyNumberFormat="1" applyFont="1" applyFill="1" applyAlignment="1">
      <alignment horizontal="center"/>
    </xf>
    <xf numFmtId="1" fontId="10" fillId="0" borderId="0" xfId="37" quotePrefix="1" applyNumberFormat="1" applyFont="1" applyFill="1" applyAlignment="1" applyProtection="1">
      <alignment horizontal="center"/>
    </xf>
    <xf numFmtId="1" fontId="10" fillId="0" borderId="0" xfId="37" applyNumberFormat="1" applyFont="1" applyFill="1" applyAlignment="1" applyProtection="1">
      <alignment horizontal="center"/>
    </xf>
    <xf numFmtId="1" fontId="10" fillId="4" borderId="0" xfId="37" applyNumberFormat="1" applyFont="1" applyFill="1" applyAlignment="1" applyProtection="1">
      <alignment horizontal="center"/>
    </xf>
    <xf numFmtId="1" fontId="10" fillId="4" borderId="0" xfId="37" quotePrefix="1" applyNumberFormat="1" applyFont="1" applyFill="1" applyAlignment="1" applyProtection="1">
      <alignment horizontal="center"/>
    </xf>
    <xf numFmtId="1" fontId="11" fillId="4" borderId="0" xfId="9" applyNumberFormat="1" applyFont="1" applyFill="1" applyAlignment="1">
      <alignment horizontal="center"/>
    </xf>
    <xf numFmtId="1" fontId="11" fillId="0" borderId="0" xfId="9" applyNumberFormat="1" applyFont="1" applyFill="1" applyAlignment="1">
      <alignment horizontal="center"/>
    </xf>
    <xf numFmtId="43" fontId="10" fillId="4" borderId="0" xfId="37" applyNumberFormat="1" applyFont="1" applyFill="1" applyAlignment="1" applyProtection="1">
      <alignment horizontal="center"/>
    </xf>
    <xf numFmtId="43" fontId="10" fillId="4" borderId="0" xfId="9" applyFont="1" applyFill="1" applyAlignment="1">
      <alignment horizontal="center"/>
    </xf>
    <xf numFmtId="10" fontId="11" fillId="4" borderId="0" xfId="37" applyNumberFormat="1" applyFont="1" applyFill="1" applyBorder="1" applyProtection="1"/>
    <xf numFmtId="4" fontId="11" fillId="0" borderId="0" xfId="37" applyNumberFormat="1" applyFont="1" applyFill="1" applyProtection="1"/>
    <xf numFmtId="4" fontId="11" fillId="4" borderId="0" xfId="37" applyNumberFormat="1" applyFont="1" applyFill="1" applyProtection="1"/>
    <xf numFmtId="164" fontId="11" fillId="4" borderId="0" xfId="37" applyNumberFormat="1" applyFont="1" applyFill="1" applyProtection="1"/>
    <xf numFmtId="164" fontId="15" fillId="4" borderId="0" xfId="37" applyNumberFormat="1" applyFont="1" applyFill="1" applyProtection="1"/>
    <xf numFmtId="43" fontId="11" fillId="4" borderId="0" xfId="9" applyFont="1" applyFill="1" applyProtection="1"/>
    <xf numFmtId="10" fontId="16" fillId="0" borderId="0" xfId="37" applyNumberFormat="1" applyFont="1" applyFill="1" applyProtection="1"/>
    <xf numFmtId="43" fontId="11" fillId="0" borderId="7" xfId="9" applyFont="1" applyFill="1" applyBorder="1"/>
    <xf numFmtId="43" fontId="11" fillId="0" borderId="9" xfId="9" applyFont="1" applyFill="1" applyBorder="1"/>
    <xf numFmtId="43" fontId="15" fillId="4" borderId="9" xfId="9" applyFont="1" applyFill="1" applyBorder="1" applyProtection="1"/>
    <xf numFmtId="43" fontId="11" fillId="4" borderId="9" xfId="9" applyFont="1" applyFill="1" applyBorder="1" applyProtection="1"/>
    <xf numFmtId="43" fontId="11" fillId="4" borderId="10" xfId="9" applyFont="1" applyFill="1" applyBorder="1" applyProtection="1"/>
    <xf numFmtId="43" fontId="11" fillId="4" borderId="0" xfId="9" applyFont="1" applyFill="1" applyBorder="1" applyProtection="1"/>
    <xf numFmtId="164" fontId="15" fillId="4" borderId="9" xfId="37" applyNumberFormat="1" applyFont="1" applyFill="1" applyBorder="1" applyProtection="1"/>
    <xf numFmtId="164" fontId="11" fillId="4" borderId="9" xfId="37" applyNumberFormat="1" applyFont="1" applyFill="1" applyBorder="1" applyProtection="1"/>
    <xf numFmtId="164" fontId="11" fillId="4" borderId="10" xfId="37" applyNumberFormat="1" applyFont="1" applyFill="1" applyBorder="1" applyProtection="1"/>
    <xf numFmtId="164" fontId="11" fillId="4" borderId="0" xfId="37" applyNumberFormat="1" applyFont="1" applyFill="1" applyBorder="1" applyProtection="1"/>
    <xf numFmtId="43" fontId="11" fillId="0" borderId="11" xfId="9" applyFont="1" applyFill="1" applyBorder="1"/>
    <xf numFmtId="10" fontId="16" fillId="4" borderId="11" xfId="37" applyNumberFormat="1" applyFont="1" applyFill="1" applyBorder="1" applyProtection="1"/>
    <xf numFmtId="10" fontId="11" fillId="4" borderId="11" xfId="37" applyNumberFormat="1" applyFont="1" applyFill="1" applyBorder="1" applyProtection="1"/>
    <xf numFmtId="43" fontId="11" fillId="4" borderId="12" xfId="9" applyFont="1" applyFill="1" applyBorder="1" applyProtection="1"/>
    <xf numFmtId="164" fontId="11" fillId="4" borderId="12" xfId="37" applyNumberFormat="1" applyFont="1" applyFill="1" applyBorder="1" applyProtection="1"/>
    <xf numFmtId="10" fontId="16" fillId="4" borderId="0" xfId="37" applyNumberFormat="1" applyFont="1" applyFill="1" applyProtection="1"/>
    <xf numFmtId="43" fontId="11" fillId="0" borderId="14" xfId="9" applyFont="1" applyFill="1" applyBorder="1"/>
    <xf numFmtId="10" fontId="16" fillId="4" borderId="14" xfId="37" applyNumberFormat="1" applyFont="1" applyFill="1" applyBorder="1" applyProtection="1"/>
    <xf numFmtId="10" fontId="11" fillId="4" borderId="14" xfId="37" applyNumberFormat="1" applyFont="1" applyFill="1" applyBorder="1" applyProtection="1"/>
    <xf numFmtId="43" fontId="11" fillId="4" borderId="13" xfId="9" applyFont="1" applyFill="1" applyBorder="1" applyProtection="1"/>
    <xf numFmtId="43" fontId="11" fillId="4" borderId="0" xfId="37" applyNumberFormat="1" applyFont="1" applyFill="1" applyBorder="1" applyProtection="1"/>
    <xf numFmtId="164" fontId="15" fillId="4" borderId="0" xfId="37" applyNumberFormat="1" applyFont="1" applyFill="1" applyBorder="1" applyProtection="1"/>
    <xf numFmtId="43" fontId="11" fillId="0" borderId="15" xfId="9" applyFont="1" applyFill="1" applyBorder="1"/>
    <xf numFmtId="10" fontId="16" fillId="4" borderId="15" xfId="37" applyNumberFormat="1" applyFont="1" applyFill="1" applyBorder="1" applyProtection="1"/>
    <xf numFmtId="10" fontId="11" fillId="4" borderId="15" xfId="37" applyNumberFormat="1" applyFont="1" applyFill="1" applyBorder="1" applyProtection="1"/>
    <xf numFmtId="43" fontId="11" fillId="4" borderId="5" xfId="9" applyFont="1" applyFill="1" applyBorder="1" applyProtection="1"/>
    <xf numFmtId="43" fontId="11" fillId="4" borderId="5" xfId="9" applyFont="1" applyFill="1" applyBorder="1"/>
    <xf numFmtId="43" fontId="11" fillId="0" borderId="0" xfId="9" quotePrefix="1" applyFont="1" applyFill="1"/>
    <xf numFmtId="164" fontId="15" fillId="4" borderId="0" xfId="37" applyNumberFormat="1" applyFont="1" applyFill="1" applyBorder="1"/>
    <xf numFmtId="164" fontId="11" fillId="4" borderId="0" xfId="37" applyNumberFormat="1" applyFont="1" applyFill="1" applyBorder="1"/>
    <xf numFmtId="10" fontId="11" fillId="4" borderId="0" xfId="37" applyNumberFormat="1" applyFont="1" applyFill="1"/>
    <xf numFmtId="10" fontId="11" fillId="4" borderId="12" xfId="37" applyNumberFormat="1" applyFont="1" applyFill="1" applyBorder="1" applyProtection="1"/>
    <xf numFmtId="10" fontId="16" fillId="4" borderId="0" xfId="37" applyNumberFormat="1" applyFont="1" applyFill="1" applyBorder="1" applyProtection="1"/>
    <xf numFmtId="10" fontId="11" fillId="4" borderId="13" xfId="37" applyNumberFormat="1" applyFont="1" applyFill="1" applyBorder="1" applyProtection="1"/>
    <xf numFmtId="164" fontId="11" fillId="0" borderId="0" xfId="37" applyNumberFormat="1" applyFont="1" applyFill="1" applyProtection="1"/>
    <xf numFmtId="43" fontId="11" fillId="5" borderId="0" xfId="37" applyNumberFormat="1" applyFont="1" applyFill="1"/>
    <xf numFmtId="4" fontId="11" fillId="0" borderId="0" xfId="37" applyNumberFormat="1" applyFont="1" applyFill="1"/>
    <xf numFmtId="43" fontId="11" fillId="0" borderId="0" xfId="37" applyNumberFormat="1" applyFont="1" applyFill="1"/>
    <xf numFmtId="17" fontId="10" fillId="0" borderId="0" xfId="37" applyNumberFormat="1" applyFont="1" applyFill="1" applyAlignment="1" applyProtection="1">
      <alignment horizontal="center"/>
    </xf>
    <xf numFmtId="43" fontId="11" fillId="0" borderId="15" xfId="9" applyFont="1" applyFill="1" applyBorder="1" applyProtection="1"/>
    <xf numFmtId="43" fontId="15" fillId="0" borderId="0" xfId="9" applyNumberFormat="1" applyFont="1" applyFill="1" applyAlignment="1" applyProtection="1"/>
    <xf numFmtId="43" fontId="11" fillId="0" borderId="16" xfId="9" applyFont="1" applyFill="1" applyBorder="1" applyProtection="1"/>
    <xf numFmtId="43" fontId="11" fillId="0" borderId="14" xfId="9" applyFont="1" applyFill="1" applyBorder="1" applyProtection="1"/>
    <xf numFmtId="43" fontId="11" fillId="0" borderId="17" xfId="9" applyFont="1" applyFill="1" applyBorder="1" applyProtection="1"/>
    <xf numFmtId="1" fontId="10" fillId="0" borderId="0" xfId="37" applyNumberFormat="1" applyFont="1" applyFill="1" applyAlignment="1">
      <alignment horizontal="center"/>
    </xf>
    <xf numFmtId="164" fontId="15" fillId="0" borderId="0" xfId="37" applyNumberFormat="1" applyFont="1" applyFill="1" applyProtection="1"/>
    <xf numFmtId="164" fontId="15" fillId="0" borderId="0" xfId="37" applyNumberFormat="1" applyFont="1" applyFill="1" applyBorder="1" applyProtection="1"/>
    <xf numFmtId="164" fontId="15" fillId="0" borderId="0" xfId="37" applyNumberFormat="1" applyFont="1" applyFill="1" applyBorder="1"/>
    <xf numFmtId="164" fontId="15" fillId="0" borderId="9" xfId="37" applyNumberFormat="1" applyFont="1" applyFill="1" applyBorder="1" applyProtection="1"/>
    <xf numFmtId="43" fontId="17" fillId="0" borderId="0" xfId="9" applyFont="1" applyFill="1"/>
    <xf numFmtId="1" fontId="10" fillId="0" borderId="0" xfId="9" applyNumberFormat="1" applyFont="1" applyFill="1" applyAlignment="1">
      <alignment horizontal="center"/>
    </xf>
    <xf numFmtId="43" fontId="11" fillId="6" borderId="10" xfId="9" applyFont="1" applyFill="1" applyBorder="1" applyProtection="1"/>
    <xf numFmtId="175" fontId="10" fillId="0" borderId="0" xfId="19" applyNumberFormat="1" applyFont="1" applyFill="1" applyAlignment="1">
      <alignment horizontal="center" vertical="center"/>
    </xf>
    <xf numFmtId="10" fontId="10" fillId="0" borderId="16" xfId="37" applyNumberFormat="1" applyFont="1" applyFill="1" applyBorder="1" applyAlignment="1" applyProtection="1">
      <alignment horizontal="center"/>
    </xf>
    <xf numFmtId="43" fontId="11" fillId="0" borderId="7" xfId="9" applyFont="1" applyFill="1" applyBorder="1" applyAlignment="1" applyProtection="1">
      <alignment horizontal="center"/>
    </xf>
    <xf numFmtId="43" fontId="11" fillId="0" borderId="9" xfId="9" applyFont="1" applyFill="1" applyBorder="1" applyAlignment="1" applyProtection="1">
      <alignment horizontal="center"/>
    </xf>
    <xf numFmtId="43" fontId="11" fillId="0" borderId="11" xfId="9" applyFont="1" applyFill="1" applyBorder="1" applyAlignment="1" applyProtection="1">
      <alignment horizontal="center"/>
    </xf>
    <xf numFmtId="164" fontId="15" fillId="0" borderId="18" xfId="37" applyNumberFormat="1" applyFont="1" applyFill="1" applyBorder="1" applyProtection="1"/>
    <xf numFmtId="43" fontId="11" fillId="0" borderId="19" xfId="9" applyFont="1" applyFill="1" applyBorder="1"/>
    <xf numFmtId="43" fontId="11" fillId="6" borderId="0" xfId="9" applyFont="1" applyFill="1" applyBorder="1" applyProtection="1"/>
    <xf numFmtId="0" fontId="18" fillId="0" borderId="0" xfId="0" quotePrefix="1" applyFont="1"/>
    <xf numFmtId="43" fontId="13" fillId="0" borderId="0" xfId="9" applyFont="1" applyFill="1"/>
    <xf numFmtId="43" fontId="15" fillId="4" borderId="0" xfId="9" applyFont="1" applyFill="1" applyBorder="1" applyProtection="1"/>
    <xf numFmtId="43" fontId="15" fillId="0" borderId="0" xfId="9" applyFont="1" applyFill="1" applyBorder="1" applyProtection="1"/>
    <xf numFmtId="43" fontId="15" fillId="0" borderId="0" xfId="9" applyFont="1"/>
    <xf numFmtId="43" fontId="7" fillId="0" borderId="20" xfId="9" applyFont="1" applyFill="1" applyBorder="1"/>
    <xf numFmtId="43" fontId="7" fillId="0" borderId="21" xfId="9" applyFont="1" applyFill="1" applyBorder="1"/>
    <xf numFmtId="43" fontId="7" fillId="0" borderId="20" xfId="9" applyFont="1" applyFill="1" applyBorder="1" applyProtection="1"/>
    <xf numFmtId="43" fontId="19" fillId="0" borderId="0" xfId="9" applyFont="1" applyFill="1" applyProtection="1"/>
    <xf numFmtId="43" fontId="10" fillId="0" borderId="0" xfId="9" applyNumberFormat="1" applyFont="1" applyFill="1" applyBorder="1" applyProtection="1"/>
    <xf numFmtId="43" fontId="10" fillId="0" borderId="20" xfId="9" applyNumberFormat="1" applyFont="1" applyFill="1" applyBorder="1" applyProtection="1"/>
    <xf numFmtId="10" fontId="11" fillId="0" borderId="0" xfId="37" applyNumberFormat="1" applyFont="1" applyFill="1" applyBorder="1" applyProtection="1"/>
    <xf numFmtId="10" fontId="10" fillId="0" borderId="0" xfId="37" applyNumberFormat="1" applyFont="1" applyFill="1" applyBorder="1" applyAlignment="1" applyProtection="1">
      <alignment horizontal="center"/>
    </xf>
    <xf numFmtId="43" fontId="11" fillId="0" borderId="22" xfId="9" applyFont="1" applyFill="1" applyBorder="1" applyProtection="1"/>
    <xf numFmtId="17" fontId="10" fillId="0" borderId="0" xfId="37" applyNumberFormat="1" applyFont="1" applyFill="1" applyBorder="1" applyAlignment="1" applyProtection="1">
      <alignment horizontal="center"/>
    </xf>
    <xf numFmtId="43" fontId="15" fillId="0" borderId="0" xfId="9" applyNumberFormat="1" applyFont="1" applyFill="1" applyBorder="1" applyAlignment="1" applyProtection="1"/>
    <xf numFmtId="10" fontId="11" fillId="7" borderId="0" xfId="37" applyNumberFormat="1" applyFont="1" applyFill="1" applyProtection="1"/>
    <xf numFmtId="10" fontId="10" fillId="7" borderId="0" xfId="37" applyNumberFormat="1" applyFont="1" applyFill="1" applyAlignment="1" applyProtection="1">
      <alignment horizontal="center"/>
    </xf>
    <xf numFmtId="10" fontId="10" fillId="7" borderId="16" xfId="37" applyNumberFormat="1" applyFont="1" applyFill="1" applyBorder="1" applyAlignment="1" applyProtection="1">
      <alignment horizontal="center"/>
    </xf>
    <xf numFmtId="43" fontId="11" fillId="7" borderId="0" xfId="9" applyFont="1" applyFill="1"/>
    <xf numFmtId="43" fontId="11" fillId="7" borderId="0" xfId="9" applyFont="1" applyFill="1" applyBorder="1" applyProtection="1"/>
    <xf numFmtId="43" fontId="11" fillId="7" borderId="7" xfId="9" applyFont="1" applyFill="1" applyBorder="1" applyAlignment="1" applyProtection="1">
      <alignment horizontal="center"/>
    </xf>
    <xf numFmtId="43" fontId="11" fillId="7" borderId="9" xfId="9" applyFont="1" applyFill="1" applyBorder="1" applyAlignment="1" applyProtection="1">
      <alignment horizontal="center"/>
    </xf>
    <xf numFmtId="43" fontId="11" fillId="7" borderId="11" xfId="9" applyFont="1" applyFill="1" applyBorder="1" applyAlignment="1" applyProtection="1">
      <alignment horizontal="center"/>
    </xf>
    <xf numFmtId="43" fontId="11" fillId="7" borderId="0" xfId="9" applyFont="1" applyFill="1" applyAlignment="1" applyProtection="1">
      <alignment horizontal="center"/>
    </xf>
    <xf numFmtId="43" fontId="15" fillId="7" borderId="0" xfId="9" applyNumberFormat="1" applyFont="1" applyFill="1" applyAlignment="1" applyProtection="1"/>
    <xf numFmtId="43" fontId="11" fillId="7" borderId="7" xfId="9" applyFont="1" applyFill="1" applyBorder="1" applyProtection="1"/>
    <xf numFmtId="43" fontId="11" fillId="7" borderId="11" xfId="9" applyFont="1" applyFill="1" applyBorder="1" applyProtection="1"/>
    <xf numFmtId="43" fontId="11" fillId="7" borderId="0" xfId="9" applyFont="1" applyFill="1" applyProtection="1"/>
    <xf numFmtId="43" fontId="11" fillId="7" borderId="16" xfId="9" applyFont="1" applyFill="1" applyBorder="1" applyProtection="1"/>
    <xf numFmtId="43" fontId="11" fillId="7" borderId="14" xfId="9" applyFont="1" applyFill="1" applyBorder="1" applyProtection="1"/>
    <xf numFmtId="43" fontId="10" fillId="7" borderId="0" xfId="9" applyNumberFormat="1" applyFont="1" applyFill="1" applyBorder="1" applyProtection="1"/>
    <xf numFmtId="43" fontId="10" fillId="7" borderId="20" xfId="9" applyNumberFormat="1" applyFont="1" applyFill="1" applyBorder="1" applyProtection="1"/>
    <xf numFmtId="43" fontId="11" fillId="7" borderId="9" xfId="9" applyFont="1" applyFill="1" applyBorder="1"/>
    <xf numFmtId="17" fontId="13" fillId="0" borderId="0" xfId="37" applyNumberFormat="1" applyFont="1" applyFill="1" applyAlignment="1">
      <alignment horizontal="center" vertical="center"/>
    </xf>
    <xf numFmtId="17" fontId="11" fillId="0" borderId="0" xfId="37" applyNumberFormat="1" applyFont="1" applyFill="1" applyProtection="1"/>
    <xf numFmtId="17" fontId="11" fillId="0" borderId="0" xfId="9" applyNumberFormat="1" applyFont="1" applyFill="1"/>
    <xf numFmtId="0" fontId="0" fillId="8" borderId="0" xfId="0" applyFill="1"/>
    <xf numFmtId="43" fontId="26" fillId="0" borderId="9" xfId="9" applyFont="1" applyFill="1" applyBorder="1" applyProtection="1"/>
    <xf numFmtId="0" fontId="22" fillId="0" borderId="0" xfId="0" applyFont="1"/>
    <xf numFmtId="0" fontId="23" fillId="0" borderId="0" xfId="0" applyFont="1"/>
    <xf numFmtId="43" fontId="0" fillId="0" borderId="0" xfId="9" applyFont="1"/>
    <xf numFmtId="43" fontId="0" fillId="0" borderId="20" xfId="9" applyFont="1" applyBorder="1"/>
    <xf numFmtId="43" fontId="0" fillId="0" borderId="0" xfId="9" applyFont="1" applyBorder="1"/>
    <xf numFmtId="0" fontId="0" fillId="0" borderId="0" xfId="0" quotePrefix="1"/>
    <xf numFmtId="43" fontId="15" fillId="0" borderId="7" xfId="9" applyFont="1" applyFill="1" applyBorder="1" applyProtection="1"/>
    <xf numFmtId="43" fontId="15" fillId="0" borderId="9" xfId="9" applyFont="1" applyFill="1" applyBorder="1" applyProtection="1"/>
    <xf numFmtId="43" fontId="26" fillId="0" borderId="0" xfId="9" applyFont="1" applyFill="1" applyBorder="1" applyProtection="1"/>
    <xf numFmtId="43" fontId="7" fillId="0" borderId="0" xfId="9" applyFont="1" applyFill="1" applyBorder="1" applyProtection="1"/>
    <xf numFmtId="43" fontId="7" fillId="0" borderId="0" xfId="9" applyFont="1" applyFill="1" applyBorder="1"/>
  </cellXfs>
  <cellStyles count="55">
    <cellStyle name="Calc Currency (0)" xfId="1" xr:uid="{00000000-0005-0000-0000-000000000000}"/>
    <cellStyle name="Calc Currency (2)" xfId="2" xr:uid="{00000000-0005-0000-0000-000001000000}"/>
    <cellStyle name="Calc Percent (0)" xfId="3" xr:uid="{00000000-0005-0000-0000-000002000000}"/>
    <cellStyle name="Calc Percent (1)" xfId="4" xr:uid="{00000000-0005-0000-0000-000003000000}"/>
    <cellStyle name="Calc Percent (2)" xfId="5" xr:uid="{00000000-0005-0000-0000-000004000000}"/>
    <cellStyle name="Calc Units (0)" xfId="6" xr:uid="{00000000-0005-0000-0000-000005000000}"/>
    <cellStyle name="Calc Units (1)" xfId="7" xr:uid="{00000000-0005-0000-0000-000006000000}"/>
    <cellStyle name="Calc Units (2)" xfId="8" xr:uid="{00000000-0005-0000-0000-000007000000}"/>
    <cellStyle name="Comma" xfId="9" builtinId="3"/>
    <cellStyle name="Comma  - Style1" xfId="10" xr:uid="{00000000-0005-0000-0000-000009000000}"/>
    <cellStyle name="Comma  - Style2" xfId="11" xr:uid="{00000000-0005-0000-0000-00000A000000}"/>
    <cellStyle name="Comma  - Style3" xfId="12" xr:uid="{00000000-0005-0000-0000-00000B000000}"/>
    <cellStyle name="Comma  - Style4" xfId="13" xr:uid="{00000000-0005-0000-0000-00000C000000}"/>
    <cellStyle name="Comma  - Style5" xfId="14" xr:uid="{00000000-0005-0000-0000-00000D000000}"/>
    <cellStyle name="Comma  - Style6" xfId="15" xr:uid="{00000000-0005-0000-0000-00000E000000}"/>
    <cellStyle name="Comma  - Style7" xfId="16" xr:uid="{00000000-0005-0000-0000-00000F000000}"/>
    <cellStyle name="Comma  - Style8" xfId="17" xr:uid="{00000000-0005-0000-0000-000010000000}"/>
    <cellStyle name="Comma [00]" xfId="18" xr:uid="{00000000-0005-0000-0000-000011000000}"/>
    <cellStyle name="Comma_VoorbladWOST" xfId="19" xr:uid="{00000000-0005-0000-0000-000012000000}"/>
    <cellStyle name="Currency [00]" xfId="20" xr:uid="{00000000-0005-0000-0000-000013000000}"/>
    <cellStyle name="Date Short" xfId="21" xr:uid="{00000000-0005-0000-0000-000014000000}"/>
    <cellStyle name="Enter Currency (0)" xfId="22" xr:uid="{00000000-0005-0000-0000-000015000000}"/>
    <cellStyle name="Enter Currency (2)" xfId="23" xr:uid="{00000000-0005-0000-0000-000016000000}"/>
    <cellStyle name="Enter Units (0)" xfId="24" xr:uid="{00000000-0005-0000-0000-000017000000}"/>
    <cellStyle name="Enter Units (1)" xfId="25" xr:uid="{00000000-0005-0000-0000-000018000000}"/>
    <cellStyle name="Enter Units (2)" xfId="26" xr:uid="{00000000-0005-0000-0000-000019000000}"/>
    <cellStyle name="Grey" xfId="27" xr:uid="{00000000-0005-0000-0000-00001A000000}"/>
    <cellStyle name="Header1" xfId="28" xr:uid="{00000000-0005-0000-0000-00001B000000}"/>
    <cellStyle name="Header2" xfId="29" xr:uid="{00000000-0005-0000-0000-00001C000000}"/>
    <cellStyle name="Input [yellow]" xfId="30" xr:uid="{00000000-0005-0000-0000-00001D000000}"/>
    <cellStyle name="Link Currency (0)" xfId="31" xr:uid="{00000000-0005-0000-0000-00001E000000}"/>
    <cellStyle name="Link Currency (2)" xfId="32" xr:uid="{00000000-0005-0000-0000-00001F000000}"/>
    <cellStyle name="Link Units (0)" xfId="33" xr:uid="{00000000-0005-0000-0000-000020000000}"/>
    <cellStyle name="Link Units (1)" xfId="34" xr:uid="{00000000-0005-0000-0000-000021000000}"/>
    <cellStyle name="Link Units (2)" xfId="35" xr:uid="{00000000-0005-0000-0000-000022000000}"/>
    <cellStyle name="Normal" xfId="0" builtinId="0"/>
    <cellStyle name="Normal - Style1" xfId="36" xr:uid="{00000000-0005-0000-0000-000024000000}"/>
    <cellStyle name="Percent" xfId="37" builtinId="5"/>
    <cellStyle name="Percent [0]" xfId="38" xr:uid="{00000000-0005-0000-0000-000026000000}"/>
    <cellStyle name="Percent [00]" xfId="39" xr:uid="{00000000-0005-0000-0000-000027000000}"/>
    <cellStyle name="Percent [2]" xfId="40" xr:uid="{00000000-0005-0000-0000-000028000000}"/>
    <cellStyle name="PrePop Currency (0)" xfId="41" xr:uid="{00000000-0005-0000-0000-000029000000}"/>
    <cellStyle name="PrePop Currency (2)" xfId="42" xr:uid="{00000000-0005-0000-0000-00002A000000}"/>
    <cellStyle name="PrePop Units (0)" xfId="43" xr:uid="{00000000-0005-0000-0000-00002B000000}"/>
    <cellStyle name="PrePop Units (1)" xfId="44" xr:uid="{00000000-0005-0000-0000-00002C000000}"/>
    <cellStyle name="PrePop Units (2)" xfId="45" xr:uid="{00000000-0005-0000-0000-00002D000000}"/>
    <cellStyle name="STYL1 - Style1" xfId="46" xr:uid="{00000000-0005-0000-0000-00002E000000}"/>
    <cellStyle name="STYL2 - Style2" xfId="47" xr:uid="{00000000-0005-0000-0000-00002F000000}"/>
    <cellStyle name="STYL3 - Style3" xfId="48" xr:uid="{00000000-0005-0000-0000-000030000000}"/>
    <cellStyle name="STYL4 - Style4" xfId="49" xr:uid="{00000000-0005-0000-0000-000031000000}"/>
    <cellStyle name="STYL5 - Style5" xfId="50" xr:uid="{00000000-0005-0000-0000-000032000000}"/>
    <cellStyle name="Text Indent A" xfId="51" xr:uid="{00000000-0005-0000-0000-000033000000}"/>
    <cellStyle name="Text Indent B" xfId="52" xr:uid="{00000000-0005-0000-0000-000034000000}"/>
    <cellStyle name="Text Indent C" xfId="53" xr:uid="{00000000-0005-0000-0000-000035000000}"/>
    <cellStyle name="Update" xfId="54" xr:uid="{00000000-0005-0000-0000-00003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28262" zoomScaleNormal="110" zoomScaleSheetLayoutView="70" workbookViewId="0"/>
  </sheetViews>
  <sheetFormatPr defaultColWidth="8.85546875"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4"/>
  <sheetViews>
    <sheetView workbookViewId="0">
      <selection activeCell="I21" sqref="I21"/>
    </sheetView>
  </sheetViews>
  <sheetFormatPr defaultColWidth="11.42578125" defaultRowHeight="12.75" x14ac:dyDescent="0.2"/>
  <cols>
    <col min="1" max="1" width="3.7109375" customWidth="1"/>
    <col min="2" max="2" width="4.42578125" customWidth="1"/>
    <col min="3" max="3" width="27.7109375" customWidth="1"/>
    <col min="4" max="4" width="10.85546875" style="176"/>
  </cols>
  <sheetData>
    <row r="1" spans="1:4" ht="18" x14ac:dyDescent="0.25">
      <c r="A1" s="175" t="s">
        <v>112</v>
      </c>
    </row>
    <row r="4" spans="1:4" x14ac:dyDescent="0.2">
      <c r="A4" s="174" t="s">
        <v>113</v>
      </c>
      <c r="B4" s="174" t="s">
        <v>114</v>
      </c>
    </row>
    <row r="5" spans="1:4" x14ac:dyDescent="0.2">
      <c r="B5" t="s">
        <v>118</v>
      </c>
    </row>
    <row r="6" spans="1:4" x14ac:dyDescent="0.2">
      <c r="C6" t="s">
        <v>117</v>
      </c>
    </row>
    <row r="7" spans="1:4" x14ac:dyDescent="0.2">
      <c r="C7" t="s">
        <v>115</v>
      </c>
      <c r="D7" s="176">
        <v>139326.07</v>
      </c>
    </row>
    <row r="8" spans="1:4" x14ac:dyDescent="0.2">
      <c r="C8" t="s">
        <v>116</v>
      </c>
      <c r="D8" s="176">
        <v>254908.63</v>
      </c>
    </row>
    <row r="10" spans="1:4" x14ac:dyDescent="0.2">
      <c r="C10" t="s">
        <v>119</v>
      </c>
    </row>
    <row r="11" spans="1:4" x14ac:dyDescent="0.2">
      <c r="C11" t="s">
        <v>120</v>
      </c>
      <c r="D11" s="176">
        <v>106565.22</v>
      </c>
    </row>
    <row r="13" spans="1:4" x14ac:dyDescent="0.2">
      <c r="C13" t="s">
        <v>121</v>
      </c>
    </row>
    <row r="14" spans="1:4" x14ac:dyDescent="0.2">
      <c r="C14" t="s">
        <v>122</v>
      </c>
      <c r="D14" s="176">
        <v>249401.28</v>
      </c>
    </row>
    <row r="15" spans="1:4" x14ac:dyDescent="0.2">
      <c r="C15" t="s">
        <v>123</v>
      </c>
      <c r="D15" s="176">
        <v>11690.45</v>
      </c>
    </row>
    <row r="17" spans="1:4" ht="13.5" thickBot="1" x14ac:dyDescent="0.25">
      <c r="D17" s="177">
        <f>SUM(D7:D16)</f>
        <v>761891.65</v>
      </c>
    </row>
    <row r="18" spans="1:4" ht="13.5" thickTop="1" x14ac:dyDescent="0.2">
      <c r="D18" s="178"/>
    </row>
    <row r="19" spans="1:4" x14ac:dyDescent="0.2">
      <c r="C19" t="s">
        <v>125</v>
      </c>
      <c r="D19" s="178"/>
    </row>
    <row r="20" spans="1:4" x14ac:dyDescent="0.2">
      <c r="C20" t="s">
        <v>124</v>
      </c>
      <c r="D20" s="176">
        <v>343478.26</v>
      </c>
    </row>
    <row r="21" spans="1:4" x14ac:dyDescent="0.2">
      <c r="C21" t="s">
        <v>128</v>
      </c>
    </row>
    <row r="22" spans="1:4" x14ac:dyDescent="0.2">
      <c r="C22" s="176"/>
    </row>
    <row r="23" spans="1:4" x14ac:dyDescent="0.2">
      <c r="C23" t="s">
        <v>126</v>
      </c>
    </row>
    <row r="24" spans="1:4" x14ac:dyDescent="0.2">
      <c r="C24" t="s">
        <v>127</v>
      </c>
      <c r="D24" s="176">
        <v>15652.17</v>
      </c>
    </row>
    <row r="25" spans="1:4" x14ac:dyDescent="0.2">
      <c r="C25" t="s">
        <v>128</v>
      </c>
    </row>
    <row r="27" spans="1:4" x14ac:dyDescent="0.2">
      <c r="C27" t="s">
        <v>129</v>
      </c>
    </row>
    <row r="28" spans="1:4" x14ac:dyDescent="0.2">
      <c r="C28" t="s">
        <v>130</v>
      </c>
    </row>
    <row r="29" spans="1:4" x14ac:dyDescent="0.2">
      <c r="C29" t="s">
        <v>131</v>
      </c>
    </row>
    <row r="31" spans="1:4" x14ac:dyDescent="0.2">
      <c r="A31" s="174"/>
      <c r="B31" s="174"/>
    </row>
    <row r="32" spans="1:4" x14ac:dyDescent="0.2">
      <c r="A32" s="174" t="s">
        <v>113</v>
      </c>
      <c r="B32" s="174" t="s">
        <v>132</v>
      </c>
    </row>
    <row r="34" spans="2:3" x14ac:dyDescent="0.2">
      <c r="B34">
        <v>1</v>
      </c>
      <c r="C34" t="s">
        <v>133</v>
      </c>
    </row>
    <row r="36" spans="2:3" x14ac:dyDescent="0.2">
      <c r="B36">
        <v>2</v>
      </c>
      <c r="C36" t="s">
        <v>134</v>
      </c>
    </row>
    <row r="38" spans="2:3" x14ac:dyDescent="0.2">
      <c r="B38">
        <v>3</v>
      </c>
      <c r="C38" t="s">
        <v>135</v>
      </c>
    </row>
    <row r="39" spans="2:3" x14ac:dyDescent="0.2">
      <c r="C39" s="179" t="s">
        <v>136</v>
      </c>
    </row>
    <row r="40" spans="2:3" x14ac:dyDescent="0.2">
      <c r="C40" s="179" t="s">
        <v>137</v>
      </c>
    </row>
    <row r="41" spans="2:3" x14ac:dyDescent="0.2">
      <c r="C41" s="179" t="s">
        <v>138</v>
      </c>
    </row>
    <row r="43" spans="2:3" x14ac:dyDescent="0.2">
      <c r="C43" t="s">
        <v>139</v>
      </c>
    </row>
    <row r="45" spans="2:3" x14ac:dyDescent="0.2">
      <c r="B45">
        <v>4</v>
      </c>
      <c r="C45" t="s">
        <v>140</v>
      </c>
    </row>
    <row r="47" spans="2:3" x14ac:dyDescent="0.2">
      <c r="B47">
        <v>5</v>
      </c>
      <c r="C47" t="s">
        <v>141</v>
      </c>
    </row>
    <row r="49" spans="2:3" x14ac:dyDescent="0.2">
      <c r="B49">
        <v>6</v>
      </c>
      <c r="C49" t="s">
        <v>142</v>
      </c>
    </row>
    <row r="50" spans="2:3" x14ac:dyDescent="0.2">
      <c r="C50" s="179" t="s">
        <v>143</v>
      </c>
    </row>
    <row r="51" spans="2:3" x14ac:dyDescent="0.2">
      <c r="C51" s="179" t="s">
        <v>144</v>
      </c>
    </row>
    <row r="52" spans="2:3" x14ac:dyDescent="0.2">
      <c r="C52" s="179" t="s">
        <v>146</v>
      </c>
    </row>
    <row r="53" spans="2:3" x14ac:dyDescent="0.2">
      <c r="C53" s="179" t="s">
        <v>145</v>
      </c>
    </row>
    <row r="54" spans="2:3" x14ac:dyDescent="0.2">
      <c r="C54" s="179"/>
    </row>
  </sheetData>
  <phoneticPr fontId="4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7"/>
    <pageSetUpPr fitToPage="1"/>
  </sheetPr>
  <dimension ref="A1:K55"/>
  <sheetViews>
    <sheetView zoomScale="60" zoomScaleNormal="60" workbookViewId="0">
      <selection activeCell="J24" sqref="J24"/>
    </sheetView>
  </sheetViews>
  <sheetFormatPr defaultColWidth="12.42578125" defaultRowHeight="18" customHeight="1" x14ac:dyDescent="0.2"/>
  <cols>
    <col min="1" max="1" width="4.85546875" style="6" customWidth="1"/>
    <col min="2" max="2" width="6" style="6" customWidth="1"/>
    <col min="3" max="3" width="13.42578125" style="6" customWidth="1"/>
    <col min="4" max="4" width="11.28515625" style="1" customWidth="1"/>
    <col min="5" max="5" width="10.140625" style="1" customWidth="1"/>
    <col min="6" max="6" width="7.28515625" style="1" customWidth="1"/>
    <col min="7" max="7" width="22.7109375" style="1" customWidth="1"/>
    <col min="8" max="8" width="19.140625" style="1" customWidth="1"/>
    <col min="9" max="9" width="3" style="1" customWidth="1"/>
    <col min="10" max="10" width="29.42578125" style="1" customWidth="1"/>
    <col min="11" max="11" width="2.7109375" style="1" customWidth="1"/>
    <col min="12" max="12" width="2.28515625" style="6" customWidth="1"/>
    <col min="13" max="16384" width="12.42578125" style="6"/>
  </cols>
  <sheetData>
    <row r="1" spans="1:11" ht="18" customHeight="1" x14ac:dyDescent="0.2">
      <c r="A1" s="3"/>
      <c r="B1" s="3"/>
      <c r="C1" s="3"/>
      <c r="D1" s="4"/>
      <c r="E1" s="5"/>
      <c r="F1" s="5"/>
      <c r="G1" s="5"/>
      <c r="H1" s="5"/>
      <c r="I1" s="5"/>
      <c r="J1" s="5"/>
      <c r="K1" s="5"/>
    </row>
    <row r="2" spans="1:11" ht="18" customHeight="1" x14ac:dyDescent="0.2">
      <c r="A2" s="3"/>
      <c r="B2" s="3"/>
      <c r="C2" s="3"/>
      <c r="D2" s="4"/>
      <c r="E2" s="5"/>
      <c r="F2" s="5"/>
      <c r="G2" s="5"/>
      <c r="H2" s="5"/>
      <c r="I2" s="5"/>
      <c r="J2" s="5"/>
      <c r="K2" s="5"/>
    </row>
    <row r="3" spans="1:11" ht="18" customHeight="1" x14ac:dyDescent="0.2">
      <c r="A3" s="3"/>
      <c r="B3" s="3"/>
      <c r="C3" s="3"/>
      <c r="D3" s="4"/>
      <c r="E3" s="5"/>
      <c r="F3" s="5"/>
      <c r="G3" s="5"/>
      <c r="H3" s="5"/>
      <c r="I3" s="5"/>
      <c r="J3" s="5"/>
      <c r="K3" s="5"/>
    </row>
    <row r="4" spans="1:11" ht="18" customHeight="1" x14ac:dyDescent="0.2">
      <c r="A4" s="3"/>
      <c r="B4" s="3"/>
      <c r="C4" s="3"/>
      <c r="D4" s="4"/>
      <c r="E4" s="5"/>
      <c r="F4" s="5"/>
      <c r="G4" s="5"/>
      <c r="H4" s="5"/>
      <c r="I4" s="5"/>
      <c r="J4" s="5"/>
      <c r="K4" s="5"/>
    </row>
    <row r="5" spans="1:11" ht="18" customHeight="1" x14ac:dyDescent="0.2">
      <c r="A5" s="3"/>
      <c r="B5" s="3"/>
      <c r="C5" s="3"/>
      <c r="D5" s="4"/>
      <c r="E5" s="5"/>
      <c r="F5" s="5"/>
      <c r="G5" s="5"/>
      <c r="H5" s="5"/>
      <c r="I5" s="5"/>
      <c r="J5" s="5"/>
      <c r="K5" s="5"/>
    </row>
    <row r="6" spans="1:11" ht="18" customHeight="1" x14ac:dyDescent="0.2">
      <c r="A6" s="3"/>
      <c r="B6" s="3"/>
      <c r="C6" s="3"/>
      <c r="D6" s="4"/>
      <c r="E6" s="5"/>
      <c r="F6" s="5"/>
      <c r="G6" s="5"/>
      <c r="H6" s="5"/>
      <c r="I6" s="5"/>
      <c r="J6" s="5"/>
      <c r="K6" s="5"/>
    </row>
    <row r="7" spans="1:11" ht="18" customHeight="1" x14ac:dyDescent="0.2">
      <c r="A7" s="3"/>
      <c r="B7" s="3"/>
      <c r="C7" s="3"/>
      <c r="D7" s="4"/>
      <c r="E7" s="5"/>
      <c r="F7" s="5"/>
      <c r="G7" s="5"/>
      <c r="H7" s="5"/>
      <c r="I7" s="5"/>
      <c r="J7" s="5"/>
      <c r="K7" s="5"/>
    </row>
    <row r="8" spans="1:11" ht="18" customHeight="1" x14ac:dyDescent="0.2">
      <c r="A8" s="3"/>
      <c r="B8" s="3"/>
      <c r="C8" s="3"/>
      <c r="D8" s="4"/>
      <c r="E8" s="5"/>
      <c r="F8" s="5"/>
      <c r="G8" s="5"/>
      <c r="H8" s="5"/>
      <c r="I8" s="5"/>
      <c r="J8" s="5"/>
      <c r="K8" s="5"/>
    </row>
    <row r="9" spans="1:11" ht="18" customHeight="1" x14ac:dyDescent="0.2">
      <c r="A9" s="3"/>
      <c r="B9" s="3"/>
      <c r="C9" s="3"/>
      <c r="D9" s="4"/>
      <c r="E9" s="5"/>
      <c r="F9" s="5"/>
      <c r="G9" s="5"/>
      <c r="H9" s="5"/>
      <c r="I9" s="5"/>
      <c r="J9" s="5"/>
      <c r="K9" s="5"/>
    </row>
    <row r="10" spans="1:11" ht="18" customHeight="1" x14ac:dyDescent="0.2">
      <c r="A10" s="3"/>
      <c r="B10" s="3"/>
      <c r="C10" s="3"/>
      <c r="D10" s="4"/>
      <c r="E10" s="5"/>
      <c r="F10" s="5"/>
      <c r="G10" s="5"/>
      <c r="H10" s="5"/>
      <c r="I10" s="5"/>
      <c r="J10" s="5"/>
      <c r="K10" s="5"/>
    </row>
    <row r="11" spans="1:11" ht="18" customHeight="1" x14ac:dyDescent="0.2">
      <c r="A11" s="3"/>
      <c r="B11" s="3"/>
      <c r="C11" s="3"/>
      <c r="D11" s="4"/>
      <c r="E11" s="5"/>
      <c r="F11" s="5"/>
      <c r="G11" s="5"/>
      <c r="H11" s="5"/>
      <c r="I11" s="5"/>
      <c r="J11" s="5"/>
      <c r="K11" s="5"/>
    </row>
    <row r="12" spans="1:11" ht="18" customHeight="1" x14ac:dyDescent="0.2">
      <c r="A12" s="3"/>
      <c r="B12" s="3"/>
      <c r="C12" s="3"/>
      <c r="D12" s="4"/>
      <c r="E12" s="5"/>
      <c r="F12" s="5"/>
      <c r="G12" s="5"/>
      <c r="H12" s="5"/>
      <c r="I12" s="5"/>
      <c r="J12" s="5"/>
      <c r="K12" s="5"/>
    </row>
    <row r="13" spans="1:11" ht="18" customHeight="1" x14ac:dyDescent="0.2">
      <c r="A13" s="3"/>
      <c r="B13" s="3"/>
      <c r="C13" s="3"/>
      <c r="D13" s="4"/>
      <c r="E13" s="5"/>
      <c r="F13" s="5"/>
      <c r="G13" s="7"/>
      <c r="H13" s="5"/>
      <c r="I13" s="5"/>
      <c r="J13" s="5"/>
      <c r="K13" s="5"/>
    </row>
    <row r="14" spans="1:11" ht="18" customHeight="1" x14ac:dyDescent="0.2">
      <c r="A14" s="3"/>
      <c r="B14" s="3"/>
      <c r="C14" s="3"/>
      <c r="D14" s="4"/>
      <c r="E14" s="5"/>
      <c r="F14" s="5"/>
      <c r="G14" s="8"/>
      <c r="H14" s="5"/>
      <c r="I14" s="5"/>
      <c r="J14" s="5"/>
      <c r="K14" s="5"/>
    </row>
    <row r="15" spans="1:11" ht="18" customHeight="1" x14ac:dyDescent="0.2">
      <c r="A15" s="3"/>
      <c r="B15" s="3"/>
      <c r="C15" s="3"/>
      <c r="D15" s="4"/>
      <c r="E15" s="5"/>
      <c r="F15" s="5"/>
      <c r="G15" s="5"/>
      <c r="H15" s="5"/>
      <c r="I15" s="5"/>
      <c r="J15" s="5"/>
      <c r="K15" s="5"/>
    </row>
    <row r="16" spans="1:11" ht="18" customHeight="1" x14ac:dyDescent="0.2">
      <c r="A16" s="3"/>
      <c r="B16" s="3"/>
      <c r="C16" s="3"/>
      <c r="D16" s="4"/>
      <c r="E16" s="5"/>
      <c r="F16" s="5"/>
      <c r="G16" s="5"/>
      <c r="H16" s="5"/>
      <c r="I16" s="5"/>
      <c r="J16" s="5"/>
      <c r="K16" s="5"/>
    </row>
    <row r="17" spans="1:11" ht="18" customHeight="1" x14ac:dyDescent="0.2">
      <c r="A17" s="3"/>
      <c r="B17" s="3"/>
      <c r="C17" s="3"/>
      <c r="D17" s="4"/>
      <c r="E17" s="5"/>
      <c r="F17" s="5"/>
      <c r="G17" s="5"/>
      <c r="H17" s="5"/>
      <c r="I17" s="5"/>
      <c r="J17" s="5"/>
      <c r="K17" s="5"/>
    </row>
    <row r="18" spans="1:11" ht="18" customHeight="1" x14ac:dyDescent="0.2">
      <c r="A18" s="3"/>
      <c r="B18" s="3"/>
      <c r="C18" s="3"/>
      <c r="D18" s="4"/>
      <c r="E18" s="5"/>
      <c r="F18" s="5"/>
      <c r="G18" s="5"/>
      <c r="H18" s="5"/>
      <c r="I18" s="5"/>
      <c r="J18" s="5"/>
      <c r="K18" s="5"/>
    </row>
    <row r="19" spans="1:11" ht="23.25" customHeight="1" x14ac:dyDescent="0.2">
      <c r="A19" s="3"/>
      <c r="B19" s="3"/>
      <c r="C19" s="3"/>
      <c r="D19" s="9"/>
      <c r="E19" s="4"/>
      <c r="F19" s="4"/>
      <c r="G19" s="10" t="s">
        <v>89</v>
      </c>
      <c r="H19" s="11"/>
      <c r="I19" s="11"/>
      <c r="J19" s="11"/>
      <c r="K19" s="11"/>
    </row>
    <row r="20" spans="1:11" ht="23.25" customHeight="1" x14ac:dyDescent="0.2">
      <c r="A20" s="3"/>
      <c r="B20" s="3"/>
      <c r="C20" s="3"/>
      <c r="D20" s="9"/>
      <c r="E20" s="4"/>
      <c r="F20" s="4"/>
      <c r="G20" s="10" t="s">
        <v>90</v>
      </c>
      <c r="H20" s="11"/>
      <c r="I20" s="11"/>
      <c r="J20" s="11"/>
      <c r="K20" s="11"/>
    </row>
    <row r="21" spans="1:11" ht="23.25" customHeight="1" x14ac:dyDescent="0.2">
      <c r="A21" s="3"/>
      <c r="B21" s="3"/>
      <c r="C21" s="3"/>
      <c r="D21" s="9"/>
      <c r="E21" s="4"/>
      <c r="F21" s="4"/>
      <c r="G21" s="11"/>
      <c r="H21" s="11"/>
      <c r="I21" s="11"/>
      <c r="J21" s="11"/>
      <c r="K21" s="11"/>
    </row>
    <row r="22" spans="1:11" ht="15" x14ac:dyDescent="0.2">
      <c r="A22" s="3"/>
      <c r="B22" s="3"/>
      <c r="C22" s="3"/>
      <c r="D22" s="4"/>
      <c r="E22" s="5"/>
      <c r="F22" s="5"/>
      <c r="G22" s="5"/>
      <c r="H22" s="5"/>
      <c r="I22" s="5"/>
      <c r="J22" s="5"/>
      <c r="K22" s="5"/>
    </row>
    <row r="23" spans="1:11" s="16" customFormat="1" ht="23.25" x14ac:dyDescent="0.35">
      <c r="A23" s="12"/>
      <c r="B23" s="12"/>
      <c r="C23" s="12"/>
      <c r="D23" s="12"/>
      <c r="E23" s="13"/>
      <c r="F23" s="12"/>
      <c r="G23" s="14" t="s">
        <v>91</v>
      </c>
      <c r="H23" s="15"/>
      <c r="I23" s="15"/>
      <c r="J23" s="169">
        <v>44620</v>
      </c>
      <c r="K23" s="15"/>
    </row>
    <row r="24" spans="1:11" s="16" customFormat="1" ht="23.25" x14ac:dyDescent="0.35">
      <c r="A24" s="12"/>
      <c r="B24" s="12"/>
      <c r="C24" s="12"/>
      <c r="D24" s="12"/>
      <c r="E24" s="13"/>
      <c r="F24" s="12"/>
      <c r="G24" s="15"/>
      <c r="H24" s="15"/>
      <c r="I24" s="15"/>
      <c r="J24" s="15"/>
      <c r="K24" s="15"/>
    </row>
    <row r="25" spans="1:11" ht="23.25" customHeight="1" x14ac:dyDescent="0.2">
      <c r="A25" s="3"/>
      <c r="B25" s="3"/>
      <c r="C25" s="3"/>
      <c r="D25" s="4"/>
      <c r="E25" s="5"/>
      <c r="F25" s="5"/>
      <c r="G25" s="14"/>
      <c r="H25" s="5"/>
      <c r="I25" s="5"/>
      <c r="J25" s="5"/>
      <c r="K25" s="5"/>
    </row>
    <row r="26" spans="1:11" ht="18" customHeight="1" x14ac:dyDescent="0.2">
      <c r="A26" s="3"/>
      <c r="B26" s="3"/>
      <c r="C26" s="3"/>
      <c r="D26" s="4"/>
      <c r="E26" s="5"/>
      <c r="F26" s="5"/>
      <c r="G26" s="5"/>
      <c r="H26" s="5"/>
      <c r="I26" s="5"/>
      <c r="J26" s="5"/>
      <c r="K26" s="5"/>
    </row>
    <row r="27" spans="1:11" ht="23.25" customHeight="1" x14ac:dyDescent="0.2">
      <c r="A27" s="3"/>
      <c r="B27" s="3"/>
      <c r="C27" s="3"/>
      <c r="D27" s="4"/>
      <c r="E27" s="5"/>
      <c r="F27" s="5"/>
      <c r="G27" s="14"/>
      <c r="H27" s="5"/>
      <c r="I27" s="5"/>
      <c r="J27" s="5"/>
      <c r="K27" s="5"/>
    </row>
    <row r="28" spans="1:11" ht="23.25" customHeight="1" x14ac:dyDescent="0.2">
      <c r="A28" s="3"/>
      <c r="B28" s="3"/>
      <c r="C28" s="3"/>
      <c r="D28" s="4"/>
      <c r="E28" s="5"/>
      <c r="F28" s="5"/>
      <c r="G28" s="11"/>
      <c r="H28" s="5"/>
      <c r="I28" s="5"/>
      <c r="J28" s="5"/>
      <c r="K28" s="5"/>
    </row>
    <row r="29" spans="1:11" ht="23.25" customHeight="1" x14ac:dyDescent="0.2">
      <c r="A29" s="3"/>
      <c r="B29" s="3"/>
      <c r="C29" s="3"/>
      <c r="D29" s="4"/>
      <c r="E29" s="5"/>
      <c r="F29" s="5"/>
      <c r="G29" s="11"/>
      <c r="H29" s="5"/>
      <c r="I29" s="5"/>
      <c r="J29" s="5"/>
      <c r="K29" s="5"/>
    </row>
    <row r="30" spans="1:11" ht="23.25" customHeight="1" x14ac:dyDescent="0.2">
      <c r="A30" s="3"/>
      <c r="B30" s="3"/>
      <c r="C30" s="3"/>
      <c r="D30" s="4"/>
      <c r="E30" s="5"/>
      <c r="F30" s="5"/>
      <c r="G30" s="11"/>
      <c r="H30" s="5"/>
      <c r="I30" s="5"/>
      <c r="J30" s="5"/>
      <c r="K30" s="5"/>
    </row>
    <row r="31" spans="1:11" ht="23.25" customHeight="1" x14ac:dyDescent="0.2">
      <c r="A31" s="3"/>
      <c r="B31" s="3"/>
      <c r="C31" s="3"/>
      <c r="D31" s="4"/>
      <c r="E31" s="5"/>
      <c r="F31" s="5"/>
      <c r="G31" s="5"/>
      <c r="H31" s="5"/>
      <c r="I31" s="5"/>
      <c r="J31" s="5"/>
      <c r="K31" s="5"/>
    </row>
    <row r="32" spans="1:11" ht="23.25" customHeight="1" x14ac:dyDescent="0.2">
      <c r="A32" s="3"/>
      <c r="B32" s="3"/>
      <c r="C32" s="3"/>
      <c r="D32" s="4"/>
      <c r="E32" s="5"/>
      <c r="F32" s="5"/>
      <c r="G32" s="11"/>
      <c r="H32" s="5"/>
      <c r="I32" s="5"/>
      <c r="J32" s="5"/>
      <c r="K32" s="5"/>
    </row>
    <row r="33" spans="1:11" ht="23.25" customHeight="1" x14ac:dyDescent="0.2">
      <c r="A33" s="3"/>
      <c r="B33" s="3"/>
      <c r="C33" s="3"/>
      <c r="D33" s="4"/>
      <c r="E33" s="5"/>
      <c r="F33" s="5"/>
      <c r="G33" s="11"/>
      <c r="H33" s="5"/>
      <c r="I33" s="5"/>
      <c r="J33" s="5"/>
      <c r="K33" s="5"/>
    </row>
    <row r="34" spans="1:11" ht="23.25" customHeight="1" x14ac:dyDescent="0.2">
      <c r="A34" s="3"/>
      <c r="B34" s="3"/>
      <c r="C34" s="3"/>
      <c r="D34" s="4"/>
      <c r="E34" s="5"/>
      <c r="F34" s="5"/>
      <c r="G34" s="11"/>
      <c r="H34" s="5"/>
      <c r="I34" s="5"/>
      <c r="J34" s="5"/>
      <c r="K34" s="5"/>
    </row>
    <row r="35" spans="1:11" ht="18" customHeight="1" x14ac:dyDescent="0.2">
      <c r="A35" s="3"/>
      <c r="B35" s="3"/>
      <c r="C35" s="3"/>
      <c r="D35" s="4"/>
      <c r="E35" s="5"/>
      <c r="F35" s="5"/>
      <c r="G35" s="5"/>
      <c r="H35" s="5"/>
      <c r="I35" s="5"/>
      <c r="J35" s="5"/>
      <c r="K35" s="5"/>
    </row>
    <row r="36" spans="1:11" ht="18" customHeight="1" x14ac:dyDescent="0.2">
      <c r="A36" s="3"/>
      <c r="B36" s="3"/>
      <c r="C36" s="3"/>
      <c r="D36" s="4"/>
      <c r="E36" s="5"/>
      <c r="F36" s="5"/>
      <c r="G36" s="5"/>
      <c r="H36" s="5"/>
      <c r="I36" s="5"/>
      <c r="J36" s="5"/>
      <c r="K36" s="5"/>
    </row>
    <row r="37" spans="1:11" ht="18" customHeight="1" x14ac:dyDescent="0.2">
      <c r="A37" s="3"/>
      <c r="B37" s="3"/>
      <c r="C37" s="3"/>
      <c r="D37" s="4"/>
      <c r="E37" s="5"/>
      <c r="F37" s="5"/>
      <c r="G37" s="5"/>
      <c r="H37" s="5"/>
      <c r="I37" s="5"/>
      <c r="J37" s="5"/>
      <c r="K37" s="5"/>
    </row>
    <row r="38" spans="1:11" ht="18" customHeight="1" x14ac:dyDescent="0.2">
      <c r="A38" s="3"/>
      <c r="B38" s="3"/>
      <c r="C38" s="3"/>
      <c r="D38" s="4"/>
      <c r="E38" s="5"/>
      <c r="F38" s="5"/>
      <c r="G38" s="5"/>
      <c r="H38" s="5"/>
      <c r="I38" s="5"/>
      <c r="J38" s="5"/>
      <c r="K38" s="5"/>
    </row>
    <row r="39" spans="1:11" ht="18" customHeight="1" x14ac:dyDescent="0.2">
      <c r="A39" s="3"/>
      <c r="B39" s="3"/>
      <c r="C39" s="3"/>
      <c r="D39" s="4"/>
      <c r="E39" s="5"/>
      <c r="F39" s="5"/>
      <c r="G39" s="5"/>
      <c r="H39" s="5"/>
      <c r="I39" s="5"/>
      <c r="J39" s="5"/>
      <c r="K39" s="5"/>
    </row>
    <row r="40" spans="1:11" ht="18" customHeight="1" x14ac:dyDescent="0.2">
      <c r="A40" s="3"/>
      <c r="B40" s="3"/>
      <c r="C40" s="3"/>
      <c r="D40" s="4"/>
      <c r="E40" s="5"/>
      <c r="F40" s="5"/>
      <c r="G40" s="5"/>
      <c r="H40" s="5"/>
      <c r="I40" s="5"/>
      <c r="J40" s="5"/>
      <c r="K40" s="5"/>
    </row>
    <row r="41" spans="1:11" ht="18" customHeight="1" x14ac:dyDescent="0.2">
      <c r="A41" s="3"/>
      <c r="B41" s="3"/>
      <c r="C41" s="3"/>
      <c r="D41" s="4"/>
      <c r="E41" s="5"/>
      <c r="F41" s="5"/>
      <c r="G41" s="5"/>
      <c r="H41" s="5"/>
      <c r="I41" s="5"/>
      <c r="J41" s="5"/>
      <c r="K41" s="5"/>
    </row>
    <row r="42" spans="1:11" ht="18" customHeight="1" x14ac:dyDescent="0.2">
      <c r="A42" s="3"/>
      <c r="B42" s="3"/>
      <c r="C42" s="3"/>
      <c r="D42" s="4"/>
      <c r="E42" s="5"/>
      <c r="F42" s="5"/>
      <c r="G42" s="5"/>
      <c r="H42" s="5"/>
      <c r="I42" s="5"/>
      <c r="J42" s="5"/>
      <c r="K42" s="5"/>
    </row>
    <row r="43" spans="1:11" ht="18" customHeight="1" x14ac:dyDescent="0.2">
      <c r="A43" s="3"/>
      <c r="B43" s="3"/>
      <c r="C43" s="3"/>
      <c r="D43" s="4"/>
      <c r="E43" s="5"/>
      <c r="F43" s="5"/>
      <c r="G43" s="5"/>
      <c r="H43" s="5"/>
      <c r="I43" s="5"/>
      <c r="J43" s="5"/>
      <c r="K43" s="5"/>
    </row>
    <row r="44" spans="1:11" ht="18" customHeight="1" x14ac:dyDescent="0.2">
      <c r="A44" s="3"/>
      <c r="B44" s="3"/>
      <c r="C44" s="3"/>
      <c r="D44" s="4"/>
      <c r="E44" s="5"/>
      <c r="F44" s="5"/>
      <c r="G44" s="5"/>
      <c r="H44" s="5"/>
      <c r="I44" s="5"/>
      <c r="J44" s="5"/>
      <c r="K44" s="5"/>
    </row>
    <row r="45" spans="1:11" ht="18" customHeight="1" x14ac:dyDescent="0.2">
      <c r="A45" s="3"/>
      <c r="B45" s="3"/>
      <c r="C45" s="3"/>
      <c r="D45" s="4"/>
      <c r="E45" s="5"/>
      <c r="F45" s="5"/>
      <c r="G45" s="5"/>
      <c r="H45" s="5"/>
      <c r="I45" s="5"/>
      <c r="J45" s="5"/>
      <c r="K45" s="5"/>
    </row>
    <row r="46" spans="1:11" ht="18" customHeight="1" x14ac:dyDescent="0.2">
      <c r="A46" s="3"/>
      <c r="B46" s="3"/>
      <c r="C46" s="3"/>
      <c r="D46" s="4"/>
      <c r="E46" s="5"/>
      <c r="F46" s="5"/>
      <c r="G46" s="5"/>
      <c r="H46" s="5"/>
      <c r="I46" s="5"/>
      <c r="J46" s="5"/>
      <c r="K46" s="5"/>
    </row>
    <row r="47" spans="1:11" ht="18" customHeight="1" x14ac:dyDescent="0.2">
      <c r="A47" s="3"/>
      <c r="B47" s="3"/>
      <c r="C47" s="3"/>
      <c r="D47" s="4"/>
      <c r="E47" s="5"/>
      <c r="F47" s="5"/>
      <c r="G47" s="5"/>
      <c r="H47" s="5"/>
      <c r="I47" s="5"/>
      <c r="J47" s="5"/>
      <c r="K47" s="5"/>
    </row>
    <row r="48" spans="1:11" ht="18" customHeight="1" x14ac:dyDescent="0.2">
      <c r="A48" s="3"/>
      <c r="B48" s="3"/>
      <c r="C48" s="3"/>
      <c r="D48" s="4"/>
      <c r="E48" s="5"/>
      <c r="F48" s="5"/>
      <c r="G48" s="5"/>
      <c r="H48" s="5"/>
      <c r="I48" s="5"/>
      <c r="J48" s="5"/>
      <c r="K48" s="5"/>
    </row>
    <row r="49" spans="1:11" ht="18" customHeight="1" x14ac:dyDescent="0.2">
      <c r="A49" s="3"/>
      <c r="B49" s="3"/>
      <c r="C49" s="3"/>
      <c r="D49" s="4"/>
      <c r="E49" s="5"/>
      <c r="F49" s="5"/>
      <c r="G49" s="5"/>
      <c r="H49" s="5"/>
      <c r="I49" s="5"/>
      <c r="J49" s="5"/>
      <c r="K49" s="5"/>
    </row>
    <row r="50" spans="1:11" ht="18" customHeight="1" x14ac:dyDescent="0.2">
      <c r="A50" s="3"/>
      <c r="B50" s="3"/>
      <c r="C50" s="3"/>
      <c r="D50" s="4"/>
      <c r="E50" s="5"/>
      <c r="F50" s="5"/>
      <c r="G50" s="5"/>
      <c r="H50" s="5"/>
      <c r="I50" s="5"/>
      <c r="J50" s="5"/>
      <c r="K50" s="5"/>
    </row>
    <row r="51" spans="1:11" ht="18" customHeight="1" x14ac:dyDescent="0.2">
      <c r="A51" s="3"/>
      <c r="B51" s="3"/>
      <c r="C51" s="3"/>
      <c r="D51" s="4"/>
      <c r="E51" s="5"/>
      <c r="F51" s="5"/>
      <c r="G51" s="5"/>
      <c r="H51" s="5"/>
      <c r="I51" s="5"/>
      <c r="J51" s="5"/>
      <c r="K51" s="5"/>
    </row>
    <row r="52" spans="1:11" ht="18" customHeight="1" x14ac:dyDescent="0.2">
      <c r="A52" s="3"/>
      <c r="B52" s="3"/>
      <c r="C52" s="3"/>
      <c r="D52" s="4"/>
      <c r="E52" s="5"/>
      <c r="F52" s="5"/>
      <c r="G52" s="5"/>
      <c r="H52" s="5"/>
      <c r="I52" s="5"/>
      <c r="J52" s="5"/>
      <c r="K52" s="5"/>
    </row>
    <row r="53" spans="1:11" ht="18" customHeight="1" x14ac:dyDescent="0.2">
      <c r="A53" s="3"/>
      <c r="B53" s="3"/>
      <c r="C53" s="3"/>
      <c r="D53" s="4"/>
      <c r="E53" s="5"/>
      <c r="F53" s="5"/>
      <c r="G53" s="5"/>
      <c r="H53" s="5"/>
      <c r="I53" s="5"/>
      <c r="J53" s="5"/>
      <c r="K53" s="5"/>
    </row>
    <row r="54" spans="1:11" x14ac:dyDescent="0.2">
      <c r="A54" s="3"/>
      <c r="B54" s="3"/>
      <c r="C54" s="3"/>
      <c r="D54" s="4"/>
      <c r="E54" s="5"/>
      <c r="F54" s="17"/>
      <c r="G54" s="18"/>
      <c r="H54" s="18"/>
      <c r="I54" s="18"/>
      <c r="J54" s="18"/>
      <c r="K54" s="18"/>
    </row>
    <row r="55" spans="1:11" x14ac:dyDescent="0.2">
      <c r="A55" s="3"/>
      <c r="B55" s="3"/>
      <c r="C55" s="3"/>
      <c r="D55" s="4"/>
      <c r="E55" s="19"/>
      <c r="F55" s="17"/>
      <c r="G55" s="127"/>
      <c r="H55" s="18"/>
      <c r="I55" s="18"/>
      <c r="J55" s="18"/>
      <c r="K55" s="18"/>
    </row>
  </sheetData>
  <phoneticPr fontId="5" type="noConversion"/>
  <pageMargins left="0" right="0" top="0.31" bottom="0.2" header="0.31" footer="0.31"/>
  <pageSetup paperSize="9" scale="7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7"/>
    <pageSetUpPr fitToPage="1"/>
  </sheetPr>
  <dimension ref="A1:HK138"/>
  <sheetViews>
    <sheetView zoomScale="75" zoomScaleNormal="75" zoomScaleSheetLayoutView="75" workbookViewId="0">
      <pane xSplit="12" ySplit="8" topLeftCell="M33" activePane="bottomRight" state="frozen"/>
      <selection pane="topRight" activeCell="H1" sqref="H1"/>
      <selection pane="bottomLeft" activeCell="A9" sqref="A9"/>
      <selection pane="bottomRight" activeCell="G7" sqref="G7"/>
    </sheetView>
  </sheetViews>
  <sheetFormatPr defaultColWidth="12.42578125" defaultRowHeight="18" customHeight="1" x14ac:dyDescent="0.25"/>
  <cols>
    <col min="1" max="2" width="3.42578125" style="20" customWidth="1"/>
    <col min="3" max="3" width="3.7109375" style="20" customWidth="1"/>
    <col min="4" max="4" width="5.7109375" style="20" customWidth="1"/>
    <col min="5" max="6" width="27.28515625" style="20" customWidth="1"/>
    <col min="7" max="7" width="21.42578125" style="24" customWidth="1"/>
    <col min="8" max="8" width="3.7109375" style="24" customWidth="1"/>
    <col min="9" max="9" width="21.42578125" style="24" customWidth="1"/>
    <col min="10" max="10" width="3.7109375" style="24" customWidth="1"/>
    <col min="11" max="11" width="21.42578125" style="24" customWidth="1"/>
    <col min="12" max="12" width="3.28515625" style="24" customWidth="1"/>
    <col min="13" max="13" width="21.42578125" style="24" customWidth="1"/>
    <col min="14" max="14" width="3.28515625" style="24" customWidth="1"/>
    <col min="15" max="15" width="21.42578125" style="24" customWidth="1"/>
    <col min="16" max="16" width="3.28515625" style="24" customWidth="1"/>
    <col min="17" max="17" width="21.42578125" style="24" customWidth="1"/>
    <col min="18" max="19" width="3.28515625" style="24" customWidth="1"/>
    <col min="20" max="20" width="21.42578125" style="24" customWidth="1"/>
    <col min="21" max="22" width="3.28515625" style="24" customWidth="1"/>
    <col min="23" max="23" width="21.42578125" style="24" customWidth="1"/>
    <col min="24" max="25" width="3.28515625" style="24" customWidth="1"/>
    <col min="26" max="26" width="21.42578125" style="24" customWidth="1"/>
    <col min="27" max="27" width="3.28515625" style="24" customWidth="1"/>
    <col min="28" max="28" width="21.42578125" style="24" customWidth="1"/>
    <col min="29" max="29" width="3.28515625" style="24" customWidth="1"/>
    <col min="30" max="30" width="21.42578125" style="24" customWidth="1"/>
    <col min="31" max="31" width="5" style="24" customWidth="1"/>
    <col min="32" max="32" width="21.42578125" style="24" hidden="1" customWidth="1"/>
    <col min="33" max="33" width="22.42578125" style="24" customWidth="1"/>
    <col min="34" max="34" width="6.42578125" style="24" customWidth="1"/>
    <col min="35" max="35" width="22.42578125" style="24" hidden="1" customWidth="1"/>
    <col min="36" max="36" width="20.85546875" style="20" hidden="1" customWidth="1"/>
    <col min="37" max="37" width="3.7109375" style="20" hidden="1" customWidth="1"/>
    <col min="38" max="53" width="20.85546875" style="20" hidden="1" customWidth="1"/>
    <col min="54" max="54" width="2.42578125" style="20" hidden="1" customWidth="1"/>
    <col min="55" max="55" width="20" style="20" hidden="1" customWidth="1"/>
    <col min="56" max="56" width="2.42578125" style="20" hidden="1" customWidth="1"/>
    <col min="57" max="57" width="18.28515625" style="20" hidden="1" customWidth="1"/>
    <col min="58" max="58" width="2.85546875" style="20" hidden="1" customWidth="1"/>
    <col min="59" max="59" width="18.28515625" style="20" hidden="1" customWidth="1"/>
    <col min="60" max="60" width="2.85546875" style="20" hidden="1" customWidth="1"/>
    <col min="61" max="61" width="17" style="20" hidden="1" customWidth="1"/>
    <col min="62" max="62" width="2" style="20" hidden="1" customWidth="1"/>
    <col min="63" max="63" width="18.42578125" style="20" hidden="1" customWidth="1"/>
    <col min="64" max="64" width="2" style="20" hidden="1" customWidth="1"/>
    <col min="65" max="65" width="17" style="20" hidden="1" customWidth="1"/>
    <col min="66" max="66" width="1.7109375" style="20" hidden="1" customWidth="1"/>
    <col min="67" max="67" width="17" style="20" hidden="1" customWidth="1"/>
    <col min="68" max="68" width="0.42578125" style="20" hidden="1" customWidth="1"/>
    <col min="69" max="69" width="20.28515625" style="20" hidden="1" customWidth="1"/>
    <col min="70" max="70" width="1.42578125" style="20" hidden="1" customWidth="1"/>
    <col min="71" max="71" width="20.42578125" style="20" hidden="1" customWidth="1"/>
    <col min="72" max="72" width="4.7109375" style="20" hidden="1" customWidth="1"/>
    <col min="73" max="73" width="18.85546875" style="20" hidden="1" customWidth="1"/>
    <col min="74" max="74" width="3.42578125" style="20" hidden="1" customWidth="1"/>
    <col min="75" max="75" width="21.28515625" style="24" hidden="1" customWidth="1"/>
    <col min="76" max="76" width="4.7109375" style="20" hidden="1" customWidth="1"/>
    <col min="77" max="77" width="21.28515625" style="24" hidden="1" customWidth="1"/>
    <col min="78" max="78" width="4.7109375" style="20" hidden="1" customWidth="1"/>
    <col min="79" max="79" width="21.28515625" style="24" hidden="1" customWidth="1"/>
    <col min="80" max="80" width="4.7109375" style="24" hidden="1" customWidth="1"/>
    <col min="81" max="81" width="21.28515625" style="24" hidden="1" customWidth="1"/>
    <col min="82" max="82" width="2.42578125" style="24" hidden="1" customWidth="1"/>
    <col min="83" max="83" width="19" style="24" hidden="1" customWidth="1"/>
    <col min="84" max="84" width="0.85546875" style="24" hidden="1" customWidth="1"/>
    <col min="85" max="85" width="19" style="24" hidden="1" customWidth="1"/>
    <col min="86" max="86" width="0.85546875" style="24" hidden="1" customWidth="1"/>
    <col min="87" max="87" width="19" style="24" hidden="1" customWidth="1"/>
    <col min="88" max="88" width="0.85546875" style="24" hidden="1" customWidth="1"/>
    <col min="89" max="89" width="19" style="24" hidden="1" customWidth="1"/>
    <col min="90" max="90" width="0.85546875" style="24" hidden="1" customWidth="1"/>
    <col min="91" max="91" width="19" style="24" hidden="1" customWidth="1"/>
    <col min="92" max="92" width="0.85546875" style="24" hidden="1" customWidth="1"/>
    <col min="93" max="93" width="19" style="24" hidden="1" customWidth="1"/>
    <col min="94" max="94" width="0.85546875" style="24" hidden="1" customWidth="1"/>
    <col min="95" max="95" width="19" style="112" hidden="1" customWidth="1"/>
    <col min="96" max="96" width="0.85546875" style="24" hidden="1" customWidth="1"/>
    <col min="97" max="97" width="3.28515625" style="24" hidden="1" customWidth="1"/>
    <col min="98" max="98" width="2.42578125" style="24" hidden="1" customWidth="1"/>
    <col min="99" max="99" width="21.28515625" style="24" hidden="1" customWidth="1"/>
    <col min="100" max="100" width="2.42578125" style="24" hidden="1" customWidth="1"/>
    <col min="101" max="101" width="21.28515625" style="24" hidden="1" customWidth="1"/>
    <col min="102" max="102" width="2.42578125" style="24" hidden="1" customWidth="1"/>
    <col min="103" max="103" width="21.28515625" style="24" hidden="1" customWidth="1"/>
    <col min="104" max="104" width="2.42578125" style="24" hidden="1" customWidth="1"/>
    <col min="105" max="105" width="21.28515625" style="24" hidden="1" customWidth="1"/>
    <col min="106" max="106" width="2.42578125" style="24" hidden="1" customWidth="1"/>
    <col min="107" max="107" width="21.28515625" style="24" hidden="1" customWidth="1"/>
    <col min="108" max="108" width="2.42578125" style="24" hidden="1" customWidth="1"/>
    <col min="109" max="109" width="21.28515625" style="24" hidden="1" customWidth="1"/>
    <col min="110" max="110" width="2.42578125" style="24" hidden="1" customWidth="1"/>
    <col min="111" max="111" width="21.28515625" style="24" hidden="1" customWidth="1"/>
    <col min="112" max="112" width="2.42578125" style="24" hidden="1" customWidth="1"/>
    <col min="113" max="113" width="21.28515625" style="24" hidden="1" customWidth="1"/>
    <col min="114" max="114" width="2.42578125" style="24" hidden="1" customWidth="1"/>
    <col min="115" max="115" width="21.28515625" style="24" hidden="1" customWidth="1"/>
    <col min="116" max="116" width="2.42578125" style="24" hidden="1" customWidth="1"/>
    <col min="117" max="117" width="21.28515625" style="24" hidden="1" customWidth="1"/>
    <col min="118" max="118" width="2.42578125" style="24" hidden="1" customWidth="1"/>
    <col min="119" max="119" width="21.28515625" style="24" hidden="1" customWidth="1"/>
    <col min="120" max="120" width="2.42578125" style="24" hidden="1" customWidth="1"/>
    <col min="121" max="121" width="21.28515625" style="24" hidden="1" customWidth="1"/>
    <col min="122" max="122" width="2.42578125" style="24" hidden="1" customWidth="1"/>
    <col min="123" max="123" width="21.28515625" style="24" hidden="1" customWidth="1"/>
    <col min="124" max="124" width="2.42578125" style="24" hidden="1" customWidth="1"/>
    <col min="125" max="125" width="21.28515625" style="24" hidden="1" customWidth="1"/>
    <col min="126" max="126" width="2.42578125" style="24" hidden="1" customWidth="1"/>
    <col min="127" max="127" width="21.28515625" style="24" hidden="1" customWidth="1"/>
    <col min="128" max="128" width="2.42578125" style="24" hidden="1" customWidth="1"/>
    <col min="129" max="129" width="21.28515625" style="24" hidden="1" customWidth="1"/>
    <col min="130" max="130" width="2.42578125" style="24" hidden="1" customWidth="1"/>
    <col min="131" max="131" width="21.28515625" style="24" hidden="1" customWidth="1"/>
    <col min="132" max="132" width="0.42578125" style="24" hidden="1" customWidth="1"/>
    <col min="133" max="133" width="2.28515625" style="20" hidden="1" customWidth="1"/>
    <col min="134" max="134" width="12.42578125" style="20" hidden="1" customWidth="1"/>
    <col min="135" max="150" width="12.42578125" style="20" customWidth="1"/>
    <col min="151" max="151" width="17.140625" style="125" bestFit="1" customWidth="1"/>
    <col min="152" max="16384" width="12.42578125" style="20"/>
  </cols>
  <sheetData>
    <row r="1" spans="1:219" x14ac:dyDescent="0.25">
      <c r="A1" s="2" t="str">
        <f>'Income Statement'!A1</f>
        <v>SA STEM CELL TRANSPLANTATION SOCIETY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BW1" s="21"/>
      <c r="BY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48"/>
      <c r="CL1" s="48"/>
      <c r="CM1" s="48"/>
      <c r="CN1" s="48"/>
      <c r="CO1" s="48"/>
      <c r="CP1" s="48"/>
      <c r="CQ1" s="49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50"/>
      <c r="ED1" s="50"/>
    </row>
    <row r="2" spans="1:219" x14ac:dyDescent="0.25">
      <c r="A2" s="2" t="s">
        <v>96</v>
      </c>
      <c r="F2" s="171">
        <f>'Front Page'!J23</f>
        <v>44620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BW2" s="21"/>
      <c r="BY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48"/>
      <c r="CL2" s="48"/>
      <c r="CM2" s="48"/>
      <c r="CN2" s="48"/>
      <c r="CO2" s="48"/>
      <c r="CP2" s="48"/>
      <c r="CQ2" s="49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50"/>
      <c r="ED2" s="50"/>
    </row>
    <row r="3" spans="1:219" x14ac:dyDescent="0.25">
      <c r="A3" s="2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BW3" s="21"/>
      <c r="BY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48"/>
      <c r="CL3" s="48"/>
      <c r="CM3" s="48"/>
      <c r="CN3" s="48"/>
      <c r="CO3" s="48"/>
      <c r="CP3" s="48"/>
      <c r="CQ3" s="49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50"/>
      <c r="ED3" s="50"/>
    </row>
    <row r="4" spans="1:219" ht="15" customHeight="1" x14ac:dyDescent="0.25">
      <c r="A4" s="22"/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3"/>
      <c r="BX4" s="22"/>
      <c r="BY4" s="23"/>
      <c r="BZ4" s="22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51"/>
      <c r="CL4" s="51"/>
      <c r="CM4" s="51"/>
      <c r="CN4" s="51"/>
      <c r="CO4" s="51"/>
      <c r="CP4" s="51"/>
      <c r="CQ4" s="52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3"/>
      <c r="ED4" s="50"/>
    </row>
    <row r="5" spans="1:219" ht="15" customHeight="1" x14ac:dyDescent="0.25"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H5" s="21"/>
      <c r="BW5" s="21"/>
      <c r="BY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48"/>
      <c r="CL5" s="48"/>
      <c r="CM5" s="48"/>
      <c r="CN5" s="48"/>
      <c r="CO5" s="49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6"/>
      <c r="ED5" s="50"/>
    </row>
    <row r="6" spans="1:219" ht="23.1" customHeight="1" x14ac:dyDescent="0.25">
      <c r="G6" s="26" t="s">
        <v>157</v>
      </c>
      <c r="H6" s="26"/>
      <c r="I6" s="26" t="s">
        <v>154</v>
      </c>
      <c r="J6" s="26"/>
      <c r="K6" s="26" t="s">
        <v>152</v>
      </c>
      <c r="L6" s="26"/>
      <c r="M6" s="26" t="s">
        <v>148</v>
      </c>
      <c r="N6" s="26"/>
      <c r="O6" s="26" t="s">
        <v>88</v>
      </c>
      <c r="P6" s="26"/>
      <c r="Q6" s="26" t="s">
        <v>84</v>
      </c>
      <c r="R6" s="26"/>
      <c r="S6" s="26"/>
      <c r="T6" s="26" t="s">
        <v>80</v>
      </c>
      <c r="U6" s="26"/>
      <c r="V6" s="26"/>
      <c r="W6" s="26" t="s">
        <v>78</v>
      </c>
      <c r="X6" s="26"/>
      <c r="Y6" s="26"/>
      <c r="Z6" s="26" t="s">
        <v>75</v>
      </c>
      <c r="AA6" s="26"/>
      <c r="AB6" s="26" t="s">
        <v>70</v>
      </c>
      <c r="AC6" s="26"/>
      <c r="AD6" s="26" t="s">
        <v>72</v>
      </c>
      <c r="AE6" s="26"/>
      <c r="AF6" s="26" t="s">
        <v>44</v>
      </c>
      <c r="AG6" s="113" t="s">
        <v>93</v>
      </c>
      <c r="AH6" s="26"/>
      <c r="AI6" s="113" t="s">
        <v>66</v>
      </c>
      <c r="BW6" s="21"/>
      <c r="BY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48"/>
      <c r="CL6" s="48"/>
      <c r="CM6" s="48"/>
      <c r="CN6" s="48"/>
      <c r="CO6" s="49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6"/>
      <c r="ED6" s="50"/>
    </row>
    <row r="7" spans="1:219" ht="23.1" customHeight="1" x14ac:dyDescent="0.25">
      <c r="G7" s="26" t="s">
        <v>45</v>
      </c>
      <c r="H7" s="26"/>
      <c r="I7" s="26" t="s">
        <v>45</v>
      </c>
      <c r="J7" s="26"/>
      <c r="K7" s="26" t="s">
        <v>45</v>
      </c>
      <c r="L7" s="27"/>
      <c r="M7" s="26" t="s">
        <v>45</v>
      </c>
      <c r="N7" s="27"/>
      <c r="O7" s="26" t="s">
        <v>45</v>
      </c>
      <c r="P7" s="27"/>
      <c r="Q7" s="26" t="s">
        <v>45</v>
      </c>
      <c r="R7" s="27"/>
      <c r="S7" s="27"/>
      <c r="T7" s="26" t="s">
        <v>45</v>
      </c>
      <c r="U7" s="27"/>
      <c r="V7" s="27"/>
      <c r="W7" s="26" t="s">
        <v>45</v>
      </c>
      <c r="X7" s="27"/>
      <c r="Y7" s="27"/>
      <c r="Z7" s="26" t="s">
        <v>45</v>
      </c>
      <c r="AA7" s="27"/>
      <c r="AB7" s="26" t="s">
        <v>45</v>
      </c>
      <c r="AC7" s="27"/>
      <c r="AD7" s="26" t="s">
        <v>45</v>
      </c>
      <c r="AE7" s="26"/>
      <c r="AF7" s="26" t="s">
        <v>46</v>
      </c>
      <c r="AG7" s="26" t="s">
        <v>45</v>
      </c>
      <c r="AH7" s="26"/>
      <c r="AI7" s="26" t="s">
        <v>45</v>
      </c>
      <c r="AJ7" s="54">
        <v>39995</v>
      </c>
      <c r="AL7" s="54">
        <v>39965</v>
      </c>
      <c r="AM7" s="54">
        <v>39934</v>
      </c>
      <c r="AN7" s="54">
        <v>39904</v>
      </c>
      <c r="AO7" s="54">
        <v>39873</v>
      </c>
      <c r="AP7" s="54">
        <v>39845</v>
      </c>
      <c r="AQ7" s="54">
        <v>39814</v>
      </c>
      <c r="AR7" s="54">
        <v>39783</v>
      </c>
      <c r="AS7" s="54">
        <v>39753</v>
      </c>
      <c r="AT7" s="54">
        <v>39722</v>
      </c>
      <c r="AU7" s="54">
        <v>39692</v>
      </c>
      <c r="AV7" s="25" t="s">
        <v>22</v>
      </c>
      <c r="AW7" s="25" t="s">
        <v>32</v>
      </c>
      <c r="AX7" s="25" t="s">
        <v>31</v>
      </c>
      <c r="AY7" s="25" t="s">
        <v>17</v>
      </c>
      <c r="AZ7" s="25" t="s">
        <v>30</v>
      </c>
      <c r="BA7" s="25" t="s">
        <v>29</v>
      </c>
      <c r="BC7" s="25" t="s">
        <v>28</v>
      </c>
      <c r="BD7" s="25"/>
      <c r="BE7" s="25" t="s">
        <v>27</v>
      </c>
      <c r="BG7" s="25" t="s">
        <v>26</v>
      </c>
      <c r="BI7" s="25" t="s">
        <v>25</v>
      </c>
      <c r="BK7" s="25" t="s">
        <v>24</v>
      </c>
      <c r="BM7" s="25" t="s">
        <v>23</v>
      </c>
      <c r="BO7" s="25" t="s">
        <v>22</v>
      </c>
      <c r="BQ7" s="25" t="s">
        <v>19</v>
      </c>
      <c r="BS7" s="25" t="s">
        <v>18</v>
      </c>
      <c r="BU7" s="25" t="s">
        <v>17</v>
      </c>
      <c r="BV7" s="25"/>
      <c r="BW7" s="55" t="s">
        <v>7</v>
      </c>
      <c r="BY7" s="55" t="s">
        <v>16</v>
      </c>
      <c r="CA7" s="55" t="s">
        <v>21</v>
      </c>
      <c r="CB7" s="26"/>
      <c r="CC7" s="55" t="s">
        <v>20</v>
      </c>
      <c r="CD7" s="26"/>
      <c r="CE7" s="56" t="s">
        <v>2</v>
      </c>
      <c r="CF7" s="26"/>
      <c r="CG7" s="26" t="s">
        <v>3</v>
      </c>
      <c r="CH7" s="26"/>
      <c r="CI7" s="26" t="s">
        <v>4</v>
      </c>
      <c r="CJ7" s="26"/>
      <c r="CK7" s="57" t="s">
        <v>5</v>
      </c>
      <c r="CL7" s="57"/>
      <c r="CM7" s="57" t="s">
        <v>6</v>
      </c>
      <c r="CN7" s="57"/>
      <c r="CO7" s="58" t="s">
        <v>7</v>
      </c>
      <c r="CP7" s="57"/>
      <c r="CQ7" s="57" t="s">
        <v>8</v>
      </c>
      <c r="CR7" s="57"/>
      <c r="CS7" s="55" t="s">
        <v>9</v>
      </c>
      <c r="CT7" s="55"/>
      <c r="CU7" s="55" t="s">
        <v>13</v>
      </c>
      <c r="CV7" s="55"/>
      <c r="CW7" s="55" t="s">
        <v>12</v>
      </c>
      <c r="CX7" s="55"/>
      <c r="CY7" s="55" t="s">
        <v>11</v>
      </c>
      <c r="CZ7" s="55"/>
      <c r="DA7" s="55" t="s">
        <v>2</v>
      </c>
      <c r="DB7" s="55"/>
      <c r="DC7" s="55" t="s">
        <v>10</v>
      </c>
      <c r="DD7" s="55"/>
      <c r="DE7" s="55" t="s">
        <v>19</v>
      </c>
      <c r="DF7" s="55"/>
      <c r="DG7" s="55" t="s">
        <v>18</v>
      </c>
      <c r="DH7" s="55"/>
      <c r="DI7" s="55" t="s">
        <v>17</v>
      </c>
      <c r="DJ7" s="55"/>
      <c r="DK7" s="55" t="s">
        <v>7</v>
      </c>
      <c r="DL7" s="55"/>
      <c r="DM7" s="55" t="s">
        <v>16</v>
      </c>
      <c r="DN7" s="55"/>
      <c r="DO7" s="55" t="s">
        <v>15</v>
      </c>
      <c r="DP7" s="55"/>
      <c r="DQ7" s="55" t="s">
        <v>14</v>
      </c>
      <c r="DR7" s="55"/>
      <c r="DS7" s="55" t="s">
        <v>13</v>
      </c>
      <c r="DT7" s="55"/>
      <c r="DU7" s="55" t="s">
        <v>12</v>
      </c>
      <c r="DV7" s="55"/>
      <c r="DW7" s="55" t="s">
        <v>11</v>
      </c>
      <c r="DX7" s="55"/>
      <c r="DY7" s="55" t="s">
        <v>2</v>
      </c>
      <c r="DZ7" s="55"/>
      <c r="EA7" s="55" t="s">
        <v>10</v>
      </c>
      <c r="EB7" s="55"/>
      <c r="EC7" s="46"/>
      <c r="ED7" s="50"/>
    </row>
    <row r="8" spans="1:219" ht="23.1" customHeight="1" x14ac:dyDescent="0.25">
      <c r="G8" s="128" t="s">
        <v>0</v>
      </c>
      <c r="H8" s="147"/>
      <c r="I8" s="128" t="s">
        <v>0</v>
      </c>
      <c r="J8" s="147"/>
      <c r="K8" s="128" t="s">
        <v>0</v>
      </c>
      <c r="L8" s="27"/>
      <c r="M8" s="128" t="s">
        <v>0</v>
      </c>
      <c r="N8" s="27"/>
      <c r="O8" s="128" t="s">
        <v>0</v>
      </c>
      <c r="P8" s="27"/>
      <c r="Q8" s="128" t="s">
        <v>0</v>
      </c>
      <c r="R8" s="27"/>
      <c r="S8" s="27"/>
      <c r="T8" s="128" t="s">
        <v>0</v>
      </c>
      <c r="U8" s="27"/>
      <c r="V8" s="27"/>
      <c r="W8" s="128" t="s">
        <v>0</v>
      </c>
      <c r="X8" s="27"/>
      <c r="Y8" s="27"/>
      <c r="Z8" s="128" t="s">
        <v>0</v>
      </c>
      <c r="AA8" s="27"/>
      <c r="AB8" s="128" t="s">
        <v>0</v>
      </c>
      <c r="AC8" s="27"/>
      <c r="AD8" s="128" t="s">
        <v>0</v>
      </c>
      <c r="AE8" s="26"/>
      <c r="AF8" s="26" t="s">
        <v>0</v>
      </c>
      <c r="AG8" s="128" t="s">
        <v>0</v>
      </c>
      <c r="AH8" s="26"/>
      <c r="AI8" s="128" t="s">
        <v>0</v>
      </c>
      <c r="AJ8" s="119">
        <v>2009</v>
      </c>
      <c r="AL8" s="119">
        <v>2009</v>
      </c>
      <c r="AM8" s="119">
        <v>2009</v>
      </c>
      <c r="AN8" s="119">
        <v>2009</v>
      </c>
      <c r="AO8" s="119">
        <v>2009</v>
      </c>
      <c r="AP8" s="119">
        <v>2009</v>
      </c>
      <c r="AQ8" s="119">
        <v>2009</v>
      </c>
      <c r="AR8" s="119">
        <v>2008</v>
      </c>
      <c r="AS8" s="119">
        <v>2008</v>
      </c>
      <c r="AT8" s="119">
        <v>2008</v>
      </c>
      <c r="AU8" s="59">
        <v>2008</v>
      </c>
      <c r="AV8" s="59">
        <v>2008</v>
      </c>
      <c r="AW8" s="59">
        <v>2008</v>
      </c>
      <c r="AX8" s="59">
        <v>2008</v>
      </c>
      <c r="AY8" s="59">
        <v>2008</v>
      </c>
      <c r="AZ8" s="59">
        <v>2008</v>
      </c>
      <c r="BA8" s="59">
        <v>2008</v>
      </c>
      <c r="BC8" s="59">
        <v>2008</v>
      </c>
      <c r="BD8" s="59"/>
      <c r="BE8" s="59">
        <v>2008</v>
      </c>
      <c r="BG8" s="59">
        <v>2007</v>
      </c>
      <c r="BI8" s="59">
        <v>2007</v>
      </c>
      <c r="BK8" s="59">
        <v>2007</v>
      </c>
      <c r="BM8" s="59">
        <v>2007</v>
      </c>
      <c r="BO8" s="59">
        <v>2007</v>
      </c>
      <c r="BQ8" s="59">
        <v>2007</v>
      </c>
      <c r="BS8" s="59">
        <v>2007</v>
      </c>
      <c r="BU8" s="59">
        <v>2007</v>
      </c>
      <c r="BV8" s="59"/>
      <c r="BW8" s="59">
        <v>2007</v>
      </c>
      <c r="BY8" s="59">
        <v>2007</v>
      </c>
      <c r="CA8" s="59">
        <v>2007</v>
      </c>
      <c r="CB8" s="26"/>
      <c r="CC8" s="59">
        <v>2007</v>
      </c>
      <c r="CD8" s="26"/>
      <c r="CE8" s="60">
        <v>2002</v>
      </c>
      <c r="CF8" s="61"/>
      <c r="CG8" s="61">
        <v>2002</v>
      </c>
      <c r="CH8" s="61"/>
      <c r="CI8" s="61">
        <v>2002</v>
      </c>
      <c r="CJ8" s="61"/>
      <c r="CK8" s="62">
        <v>2002</v>
      </c>
      <c r="CL8" s="62"/>
      <c r="CM8" s="62">
        <v>2002</v>
      </c>
      <c r="CN8" s="62"/>
      <c r="CO8" s="63">
        <v>2002</v>
      </c>
      <c r="CP8" s="62"/>
      <c r="CQ8" s="62">
        <v>2002</v>
      </c>
      <c r="CR8" s="62"/>
      <c r="CS8" s="59">
        <v>2002</v>
      </c>
      <c r="CT8" s="59"/>
      <c r="CU8" s="59">
        <v>2006</v>
      </c>
      <c r="CV8" s="59"/>
      <c r="CW8" s="59">
        <v>2006</v>
      </c>
      <c r="CX8" s="59"/>
      <c r="CY8" s="59">
        <v>2006</v>
      </c>
      <c r="CZ8" s="59"/>
      <c r="DA8" s="59">
        <v>2006</v>
      </c>
      <c r="DB8" s="59"/>
      <c r="DC8" s="59">
        <v>2005</v>
      </c>
      <c r="DD8" s="59"/>
      <c r="DE8" s="59">
        <v>2005</v>
      </c>
      <c r="DF8" s="59"/>
      <c r="DG8" s="59">
        <v>2005</v>
      </c>
      <c r="DH8" s="59"/>
      <c r="DI8" s="59">
        <v>2005</v>
      </c>
      <c r="DJ8" s="59"/>
      <c r="DK8" s="59">
        <v>2005</v>
      </c>
      <c r="DL8" s="59"/>
      <c r="DM8" s="59">
        <v>2005</v>
      </c>
      <c r="DN8" s="59"/>
      <c r="DO8" s="59">
        <v>2005</v>
      </c>
      <c r="DP8" s="59"/>
      <c r="DQ8" s="59">
        <v>2005</v>
      </c>
      <c r="DR8" s="59"/>
      <c r="DS8" s="59">
        <v>2004</v>
      </c>
      <c r="DT8" s="59"/>
      <c r="DU8" s="59">
        <v>2004</v>
      </c>
      <c r="DV8" s="59"/>
      <c r="DW8" s="59">
        <v>2004</v>
      </c>
      <c r="DX8" s="59"/>
      <c r="DY8" s="59">
        <v>2004</v>
      </c>
      <c r="DZ8" s="59"/>
      <c r="EA8" s="59">
        <v>2004</v>
      </c>
      <c r="EB8" s="59"/>
      <c r="EC8" s="46"/>
      <c r="ED8" s="64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</row>
    <row r="9" spans="1:219" ht="23.1" customHeight="1" x14ac:dyDescent="0.25"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5" t="s">
        <v>0</v>
      </c>
      <c r="AL9" s="25" t="s">
        <v>0</v>
      </c>
      <c r="AM9" s="25" t="s">
        <v>0</v>
      </c>
      <c r="AN9" s="25" t="s">
        <v>0</v>
      </c>
      <c r="AO9" s="25" t="s">
        <v>0</v>
      </c>
      <c r="AP9" s="25" t="s">
        <v>0</v>
      </c>
      <c r="AQ9" s="25" t="s">
        <v>0</v>
      </c>
      <c r="AR9" s="25" t="s">
        <v>0</v>
      </c>
      <c r="AS9" s="25" t="s">
        <v>0</v>
      </c>
      <c r="AT9" s="25" t="s">
        <v>0</v>
      </c>
      <c r="AU9" s="25" t="s">
        <v>0</v>
      </c>
      <c r="AV9" s="25" t="s">
        <v>0</v>
      </c>
      <c r="AW9" s="25" t="s">
        <v>0</v>
      </c>
      <c r="AX9" s="25" t="s">
        <v>0</v>
      </c>
      <c r="AY9" s="25" t="s">
        <v>0</v>
      </c>
      <c r="AZ9" s="25" t="s">
        <v>0</v>
      </c>
      <c r="BA9" s="25" t="s">
        <v>0</v>
      </c>
      <c r="BC9" s="25" t="s">
        <v>0</v>
      </c>
      <c r="BD9" s="25"/>
      <c r="BE9" s="25" t="s">
        <v>0</v>
      </c>
      <c r="BG9" s="25" t="s">
        <v>0</v>
      </c>
      <c r="BI9" s="25" t="s">
        <v>0</v>
      </c>
      <c r="BK9" s="25" t="s">
        <v>0</v>
      </c>
      <c r="BM9" s="25" t="s">
        <v>0</v>
      </c>
      <c r="BO9" s="25" t="s">
        <v>0</v>
      </c>
      <c r="BQ9" s="25" t="s">
        <v>0</v>
      </c>
      <c r="BS9" s="25" t="s">
        <v>0</v>
      </c>
      <c r="BU9" s="25" t="s">
        <v>0</v>
      </c>
      <c r="BV9" s="25"/>
      <c r="BW9" s="57" t="s">
        <v>0</v>
      </c>
      <c r="BY9" s="57" t="s">
        <v>0</v>
      </c>
      <c r="CA9" s="57" t="s">
        <v>0</v>
      </c>
      <c r="CB9" s="26"/>
      <c r="CC9" s="57" t="s">
        <v>0</v>
      </c>
      <c r="CD9" s="21"/>
      <c r="CE9" s="26" t="s">
        <v>0</v>
      </c>
      <c r="CF9" s="21"/>
      <c r="CG9" s="26" t="s">
        <v>0</v>
      </c>
      <c r="CH9" s="21"/>
      <c r="CI9" s="26" t="s">
        <v>0</v>
      </c>
      <c r="CJ9" s="21"/>
      <c r="CK9" s="57" t="s">
        <v>0</v>
      </c>
      <c r="CL9" s="48"/>
      <c r="CM9" s="57" t="s">
        <v>0</v>
      </c>
      <c r="CN9" s="57"/>
      <c r="CO9" s="66" t="s">
        <v>0</v>
      </c>
      <c r="CP9" s="57"/>
      <c r="CQ9" s="57" t="s">
        <v>0</v>
      </c>
      <c r="CR9" s="48"/>
      <c r="CS9" s="57" t="s">
        <v>0</v>
      </c>
      <c r="CT9" s="57"/>
      <c r="CU9" s="57" t="s">
        <v>0</v>
      </c>
      <c r="CV9" s="57"/>
      <c r="CW9" s="57" t="s">
        <v>0</v>
      </c>
      <c r="CX9" s="57"/>
      <c r="CY9" s="57" t="s">
        <v>0</v>
      </c>
      <c r="CZ9" s="57"/>
      <c r="DA9" s="57" t="s">
        <v>0</v>
      </c>
      <c r="DB9" s="57"/>
      <c r="DC9" s="57" t="s">
        <v>0</v>
      </c>
      <c r="DD9" s="57"/>
      <c r="DE9" s="57" t="s">
        <v>0</v>
      </c>
      <c r="DF9" s="57"/>
      <c r="DG9" s="57" t="s">
        <v>0</v>
      </c>
      <c r="DH9" s="57"/>
      <c r="DI9" s="57" t="s">
        <v>0</v>
      </c>
      <c r="DJ9" s="57"/>
      <c r="DK9" s="57" t="s">
        <v>0</v>
      </c>
      <c r="DL9" s="57"/>
      <c r="DM9" s="57" t="s">
        <v>0</v>
      </c>
      <c r="DN9" s="57"/>
      <c r="DO9" s="57" t="s">
        <v>0</v>
      </c>
      <c r="DP9" s="57"/>
      <c r="DQ9" s="57" t="s">
        <v>0</v>
      </c>
      <c r="DR9" s="57"/>
      <c r="DS9" s="57" t="s">
        <v>0</v>
      </c>
      <c r="DT9" s="57"/>
      <c r="DU9" s="57" t="s">
        <v>0</v>
      </c>
      <c r="DV9" s="57"/>
      <c r="DW9" s="57" t="s">
        <v>0</v>
      </c>
      <c r="DX9" s="57"/>
      <c r="DY9" s="57" t="s">
        <v>0</v>
      </c>
      <c r="DZ9" s="57"/>
      <c r="EA9" s="57" t="s">
        <v>0</v>
      </c>
      <c r="EB9" s="57"/>
      <c r="EC9" s="46"/>
      <c r="ED9" s="67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V9" s="25"/>
      <c r="EW9" s="25"/>
      <c r="EX9" s="25"/>
      <c r="EY9" s="25"/>
      <c r="EZ9" s="25"/>
      <c r="FA9" s="25"/>
      <c r="FB9" s="25"/>
      <c r="FC9" s="25"/>
      <c r="FD9" s="25"/>
    </row>
    <row r="10" spans="1:219" ht="23.1" customHeight="1" x14ac:dyDescent="0.25">
      <c r="A10" s="2" t="s">
        <v>36</v>
      </c>
      <c r="G10" s="31"/>
      <c r="H10" s="31"/>
      <c r="I10" s="31"/>
      <c r="J10" s="31"/>
      <c r="K10" s="31"/>
      <c r="L10" s="34"/>
      <c r="M10" s="31"/>
      <c r="N10" s="34"/>
      <c r="O10" s="31"/>
      <c r="P10" s="34"/>
      <c r="Q10" s="31"/>
      <c r="R10" s="34"/>
      <c r="S10" s="34"/>
      <c r="T10" s="31"/>
      <c r="U10" s="34"/>
      <c r="V10" s="34"/>
      <c r="W10" s="31"/>
      <c r="X10" s="34"/>
      <c r="Y10" s="34"/>
      <c r="Z10" s="31"/>
      <c r="AA10" s="34"/>
      <c r="AB10" s="31"/>
      <c r="AC10" s="34"/>
      <c r="AD10" s="31"/>
      <c r="AE10" s="31"/>
      <c r="AF10" s="31"/>
      <c r="AG10" s="31"/>
      <c r="AH10" s="31"/>
      <c r="AI10" s="31"/>
      <c r="BW10" s="21"/>
      <c r="BY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48"/>
      <c r="CL10" s="48"/>
      <c r="CM10" s="48"/>
      <c r="CN10" s="48"/>
      <c r="CO10" s="49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6"/>
      <c r="ED10" s="50"/>
    </row>
    <row r="11" spans="1:219" ht="23.1" customHeight="1" x14ac:dyDescent="0.25">
      <c r="G11" s="31"/>
      <c r="H11" s="31"/>
      <c r="I11" s="31"/>
      <c r="J11" s="31"/>
      <c r="K11" s="31"/>
      <c r="L11" s="34"/>
      <c r="M11" s="31"/>
      <c r="N11" s="34"/>
      <c r="O11" s="31"/>
      <c r="P11" s="34"/>
      <c r="Q11" s="31"/>
      <c r="R11" s="34"/>
      <c r="S11" s="34"/>
      <c r="T11" s="31"/>
      <c r="U11" s="34"/>
      <c r="V11" s="34"/>
      <c r="W11" s="31"/>
      <c r="X11" s="34"/>
      <c r="Y11" s="34"/>
      <c r="Z11" s="31"/>
      <c r="AA11" s="34"/>
      <c r="AB11" s="31"/>
      <c r="AC11" s="34"/>
      <c r="AD11" s="31"/>
      <c r="AE11" s="31"/>
      <c r="AF11" s="31"/>
      <c r="AG11" s="31"/>
      <c r="AH11" s="31"/>
      <c r="AI11" s="31"/>
      <c r="BW11" s="21"/>
      <c r="BY11" s="21"/>
      <c r="CA11" s="21"/>
      <c r="CB11" s="21"/>
      <c r="CC11" s="21"/>
      <c r="CD11" s="21"/>
      <c r="CE11" s="21"/>
      <c r="CF11" s="21"/>
      <c r="CG11" s="35"/>
      <c r="CH11" s="21"/>
      <c r="CI11" s="21"/>
      <c r="CJ11" s="21"/>
      <c r="CK11" s="48"/>
      <c r="CL11" s="48"/>
      <c r="CM11" s="48"/>
      <c r="CN11" s="48"/>
      <c r="CO11" s="49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6"/>
      <c r="ED11" s="50"/>
    </row>
    <row r="12" spans="1:219" ht="23.1" customHeight="1" x14ac:dyDescent="0.25">
      <c r="B12" s="2" t="s">
        <v>37</v>
      </c>
      <c r="G12" s="31">
        <v>0</v>
      </c>
      <c r="H12" s="31"/>
      <c r="I12" s="31">
        <v>0</v>
      </c>
      <c r="J12" s="31"/>
      <c r="K12" s="31">
        <v>0</v>
      </c>
      <c r="L12" s="34"/>
      <c r="M12" s="31">
        <v>0</v>
      </c>
      <c r="N12" s="34"/>
      <c r="O12" s="31">
        <v>0</v>
      </c>
      <c r="P12" s="34"/>
      <c r="Q12" s="31">
        <v>0</v>
      </c>
      <c r="R12" s="34"/>
      <c r="S12" s="34"/>
      <c r="T12" s="31">
        <v>0</v>
      </c>
      <c r="U12" s="34"/>
      <c r="V12" s="34"/>
      <c r="W12" s="31">
        <v>0</v>
      </c>
      <c r="X12" s="34"/>
      <c r="Y12" s="34"/>
      <c r="Z12" s="31">
        <v>0</v>
      </c>
      <c r="AA12" s="34"/>
      <c r="AB12" s="31">
        <v>0</v>
      </c>
      <c r="AC12" s="34"/>
      <c r="AD12" s="31">
        <v>0</v>
      </c>
      <c r="AE12" s="31"/>
      <c r="AF12" s="31"/>
      <c r="AG12" s="31">
        <v>0</v>
      </c>
      <c r="AH12" s="31"/>
      <c r="AI12" s="31">
        <v>0</v>
      </c>
      <c r="BW12" s="21"/>
      <c r="BY12" s="21"/>
      <c r="CA12" s="21"/>
      <c r="CB12" s="21"/>
      <c r="CC12" s="21"/>
      <c r="CD12" s="21"/>
      <c r="CE12" s="35"/>
      <c r="CF12" s="21"/>
      <c r="CG12" s="35"/>
      <c r="CH12" s="21"/>
      <c r="CI12" s="69"/>
      <c r="CJ12" s="21"/>
      <c r="CK12" s="70"/>
      <c r="CL12" s="48"/>
      <c r="CM12" s="71"/>
      <c r="CN12" s="48"/>
      <c r="CO12" s="49"/>
      <c r="CP12" s="48"/>
      <c r="CQ12" s="71"/>
      <c r="CR12" s="48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46"/>
      <c r="ED12" s="50"/>
    </row>
    <row r="13" spans="1:219" ht="23.1" customHeight="1" x14ac:dyDescent="0.25">
      <c r="G13" s="31"/>
      <c r="H13" s="31"/>
      <c r="I13" s="31"/>
      <c r="J13" s="31"/>
      <c r="K13" s="31"/>
      <c r="L13" s="34"/>
      <c r="M13" s="31"/>
      <c r="N13" s="34"/>
      <c r="O13" s="31"/>
      <c r="P13" s="34"/>
      <c r="Q13" s="31"/>
      <c r="R13" s="34"/>
      <c r="S13" s="34"/>
      <c r="T13" s="31"/>
      <c r="U13" s="34"/>
      <c r="V13" s="34"/>
      <c r="W13" s="31"/>
      <c r="X13" s="34"/>
      <c r="Y13" s="34"/>
      <c r="Z13" s="31"/>
      <c r="AA13" s="34"/>
      <c r="AB13" s="31"/>
      <c r="AC13" s="34"/>
      <c r="AD13" s="31"/>
      <c r="AE13" s="31"/>
      <c r="AF13" s="31"/>
      <c r="AG13" s="31"/>
      <c r="AH13" s="31"/>
      <c r="AI13" s="31"/>
      <c r="AJ13" s="20">
        <v>3597240.19</v>
      </c>
      <c r="AL13" s="20">
        <v>3606390.1</v>
      </c>
      <c r="AM13" s="20">
        <v>3615540.02</v>
      </c>
      <c r="AN13" s="20">
        <v>3624689.93</v>
      </c>
      <c r="AO13" s="20">
        <v>3633839.84</v>
      </c>
      <c r="AP13" s="20">
        <v>3642989.75</v>
      </c>
      <c r="AQ13" s="20">
        <v>3652139.66</v>
      </c>
      <c r="AR13" s="20">
        <v>3661289.57</v>
      </c>
      <c r="AS13" s="20">
        <v>3670439.48</v>
      </c>
      <c r="AT13" s="20">
        <v>3679589.39</v>
      </c>
      <c r="AU13" s="20">
        <f>4439786.75-751047.45</f>
        <v>3688739.3</v>
      </c>
      <c r="AV13" s="20">
        <f>4439786.75-741897.54</f>
        <v>3697889.21</v>
      </c>
      <c r="AW13" s="20">
        <f>4439786.75-732747.62</f>
        <v>3707039.13</v>
      </c>
      <c r="AX13" s="20">
        <f>4439786.75-723597.71</f>
        <v>3716189.04</v>
      </c>
      <c r="AY13" s="20">
        <f>4439786.75-714447.8</f>
        <v>3725338.95</v>
      </c>
      <c r="AZ13" s="20">
        <f>4439786.75-705297.89</f>
        <v>3734488.86</v>
      </c>
      <c r="BA13" s="20">
        <f>4439786.75-696147.98</f>
        <v>3743638.77</v>
      </c>
      <c r="BC13" s="20">
        <f>4439786.75-686998.07</f>
        <v>3752788.68</v>
      </c>
      <c r="BE13" s="20">
        <f>4439786.75-677848.16</f>
        <v>3761938.59</v>
      </c>
      <c r="BG13" s="20">
        <f>4439786.75-668698.25</f>
        <v>3771088.5</v>
      </c>
      <c r="BI13" s="20">
        <f>4439786.75-659548.34</f>
        <v>3780238.41</v>
      </c>
      <c r="BK13" s="20">
        <f>4439786.75-650398.43</f>
        <v>3789388.32</v>
      </c>
      <c r="BM13" s="20">
        <f>4439786.75-641248.52</f>
        <v>3798538.23</v>
      </c>
      <c r="BO13" s="20">
        <f>4439786.75-632098.61</f>
        <v>3807688.14</v>
      </c>
      <c r="BQ13" s="20">
        <f>4439786.75-622948.69</f>
        <v>3816838.06</v>
      </c>
      <c r="BS13" s="20">
        <f>4439786.75+34477.28-613798.78</f>
        <v>3860465.25</v>
      </c>
      <c r="BU13" s="20">
        <f>4439786.75-604648.87+34477.28</f>
        <v>3869615.1599999997</v>
      </c>
      <c r="BW13" s="72">
        <f>4439786.75-595498.96+34477.28</f>
        <v>3878765.07</v>
      </c>
      <c r="BY13" s="72">
        <f>4439786.75-586349.05+34477.28</f>
        <v>3887914.98</v>
      </c>
      <c r="CA13" s="72">
        <f>4439786.75-577199.14+34477.28</f>
        <v>3897064.8899999997</v>
      </c>
      <c r="CB13" s="21"/>
      <c r="CC13" s="71">
        <f>4439786.75-568049.23+34477.28</f>
        <v>3906214.8</v>
      </c>
      <c r="CD13" s="21"/>
      <c r="CE13" s="35">
        <v>0</v>
      </c>
      <c r="CF13" s="21"/>
      <c r="CG13" s="35">
        <v>0</v>
      </c>
      <c r="CH13" s="21"/>
      <c r="CI13" s="35">
        <v>0</v>
      </c>
      <c r="CJ13" s="35"/>
      <c r="CK13" s="73">
        <v>0</v>
      </c>
      <c r="CL13" s="48"/>
      <c r="CM13" s="71">
        <v>0</v>
      </c>
      <c r="CN13" s="48"/>
      <c r="CO13" s="49">
        <v>0</v>
      </c>
      <c r="CP13" s="48"/>
      <c r="CQ13" s="71">
        <v>0</v>
      </c>
      <c r="CR13" s="48"/>
      <c r="CS13" s="71">
        <v>0</v>
      </c>
      <c r="CT13" s="71"/>
      <c r="CU13" s="71">
        <f>4439786.75-558899.32+34477.28</f>
        <v>3915364.71</v>
      </c>
      <c r="CV13" s="71"/>
      <c r="CW13" s="71">
        <f>4439786.75-549749.41+34477.28</f>
        <v>3924514.6199999996</v>
      </c>
      <c r="CX13" s="71"/>
      <c r="CY13" s="71">
        <f>4439786.75-540599.5+34477.28</f>
        <v>3933664.53</v>
      </c>
      <c r="CZ13" s="71"/>
      <c r="DA13" s="71">
        <f>4439786.75-531449.59+34477.28</f>
        <v>3942814.44</v>
      </c>
      <c r="DB13" s="71"/>
      <c r="DC13" s="71">
        <f>4439786.75-412438.23</f>
        <v>4027348.52</v>
      </c>
      <c r="DD13" s="71"/>
      <c r="DE13" s="71">
        <f>4439786.75-403225.78</f>
        <v>4036560.9699999997</v>
      </c>
      <c r="DF13" s="71"/>
      <c r="DG13" s="71">
        <f>4439786.75-394013.35</f>
        <v>4045773.4</v>
      </c>
      <c r="DH13" s="71"/>
      <c r="DI13" s="71">
        <f>4439786.75-384800.91</f>
        <v>4054985.84</v>
      </c>
      <c r="DJ13" s="71"/>
      <c r="DK13" s="71">
        <f>4439786.75-375588.48</f>
        <v>4064198.27</v>
      </c>
      <c r="DL13" s="71"/>
      <c r="DM13" s="71">
        <v>4073577.22</v>
      </c>
      <c r="DN13" s="71"/>
      <c r="DO13" s="71">
        <f>4439786.75-356830.57</f>
        <v>4082956.18</v>
      </c>
      <c r="DP13" s="71"/>
      <c r="DQ13" s="71">
        <f>4439786.75-347451.62</f>
        <v>4092335.13</v>
      </c>
      <c r="DR13" s="71"/>
      <c r="DS13" s="71">
        <f>4439786.75-338072.67</f>
        <v>4101714.08</v>
      </c>
      <c r="DT13" s="71"/>
      <c r="DU13" s="71">
        <f>4439786.75-328693.72</f>
        <v>4111093.0300000003</v>
      </c>
      <c r="DV13" s="71"/>
      <c r="DW13" s="71">
        <f>4439786.75-319314.77</f>
        <v>4120471.98</v>
      </c>
      <c r="DX13" s="71"/>
      <c r="DY13" s="71">
        <f>4439786.75-307854.42</f>
        <v>4131932.33</v>
      </c>
      <c r="DZ13" s="71"/>
      <c r="EA13" s="71">
        <f>4125789.42-298051.71</f>
        <v>3827737.71</v>
      </c>
      <c r="EB13" s="71"/>
      <c r="EC13" s="46"/>
      <c r="ED13" s="50"/>
    </row>
    <row r="14" spans="1:219" ht="23.1" customHeight="1" x14ac:dyDescent="0.25">
      <c r="G14" s="31"/>
      <c r="H14" s="31"/>
      <c r="I14" s="31"/>
      <c r="J14" s="31"/>
      <c r="K14" s="31"/>
      <c r="L14" s="34"/>
      <c r="M14" s="31"/>
      <c r="N14" s="34"/>
      <c r="O14" s="31"/>
      <c r="P14" s="34"/>
      <c r="Q14" s="31"/>
      <c r="R14" s="34"/>
      <c r="S14" s="34"/>
      <c r="T14" s="31"/>
      <c r="U14" s="34"/>
      <c r="V14" s="34"/>
      <c r="W14" s="31"/>
      <c r="X14" s="34"/>
      <c r="Y14" s="34"/>
      <c r="Z14" s="31"/>
      <c r="AA14" s="34"/>
      <c r="AB14" s="31"/>
      <c r="AC14" s="34"/>
      <c r="AD14" s="31"/>
      <c r="AE14" s="31"/>
      <c r="AF14" s="31"/>
      <c r="AG14" s="31"/>
      <c r="AH14" s="31"/>
      <c r="AI14" s="31"/>
      <c r="BW14" s="74"/>
      <c r="BY14" s="74"/>
      <c r="CA14" s="74"/>
      <c r="CB14" s="21"/>
      <c r="CC14" s="21"/>
      <c r="CD14" s="21"/>
      <c r="CE14" s="35"/>
      <c r="CF14" s="21"/>
      <c r="CG14" s="35"/>
      <c r="CH14" s="21"/>
      <c r="CI14" s="35"/>
      <c r="CJ14" s="35"/>
      <c r="CK14" s="73"/>
      <c r="CL14" s="48"/>
      <c r="CM14" s="71"/>
      <c r="CN14" s="48"/>
      <c r="CO14" s="49"/>
      <c r="CP14" s="48"/>
      <c r="CQ14" s="71"/>
      <c r="CR14" s="48"/>
      <c r="CS14" s="71"/>
      <c r="CT14" s="71"/>
      <c r="CU14" s="48"/>
      <c r="CV14" s="71"/>
      <c r="CW14" s="48"/>
      <c r="CX14" s="71"/>
      <c r="CY14" s="48"/>
      <c r="CZ14" s="71"/>
      <c r="DA14" s="48"/>
      <c r="DB14" s="71"/>
      <c r="DC14" s="48"/>
      <c r="DD14" s="71"/>
      <c r="DE14" s="48"/>
      <c r="DF14" s="71"/>
      <c r="DG14" s="48"/>
      <c r="DH14" s="71"/>
      <c r="DI14" s="48"/>
      <c r="DJ14" s="71"/>
      <c r="DK14" s="48"/>
      <c r="DL14" s="71"/>
      <c r="DM14" s="48"/>
      <c r="DN14" s="71"/>
      <c r="DO14" s="48"/>
      <c r="DP14" s="71"/>
      <c r="DQ14" s="48"/>
      <c r="DR14" s="71"/>
      <c r="DS14" s="48"/>
      <c r="DT14" s="71"/>
      <c r="DU14" s="48"/>
      <c r="DV14" s="71"/>
      <c r="DW14" s="48"/>
      <c r="DX14" s="71"/>
      <c r="DY14" s="48"/>
      <c r="DZ14" s="71"/>
      <c r="EA14" s="48"/>
      <c r="EB14" s="71"/>
      <c r="EC14" s="46"/>
      <c r="ED14" s="50"/>
    </row>
    <row r="15" spans="1:219" ht="23.1" customHeight="1" x14ac:dyDescent="0.25">
      <c r="B15" s="2" t="s">
        <v>38</v>
      </c>
      <c r="G15" s="34">
        <f>SUM(G16:G19)</f>
        <v>821804.37</v>
      </c>
      <c r="H15" s="34"/>
      <c r="I15" s="34">
        <f>SUM(I16:I19)</f>
        <v>782504.07</v>
      </c>
      <c r="J15" s="34"/>
      <c r="K15" s="34">
        <f>SUM(K16:K19)</f>
        <v>737459.39</v>
      </c>
      <c r="L15" s="34"/>
      <c r="M15" s="34">
        <f>SUM(M16:M19)</f>
        <v>749990.14</v>
      </c>
      <c r="N15" s="34"/>
      <c r="O15" s="34">
        <f>SUM(O16:O19)</f>
        <v>412769.76</v>
      </c>
      <c r="P15" s="34"/>
      <c r="Q15" s="34">
        <f>SUM(Q16:Q19)</f>
        <v>171710.1</v>
      </c>
      <c r="R15" s="34"/>
      <c r="S15" s="34"/>
      <c r="T15" s="34">
        <f>SUM(T16:T19)</f>
        <v>89937.049999999988</v>
      </c>
      <c r="U15" s="34"/>
      <c r="V15" s="34"/>
      <c r="W15" s="34">
        <f>SUM(W16:W19)</f>
        <v>210617.99</v>
      </c>
      <c r="X15" s="34"/>
      <c r="Y15" s="34"/>
      <c r="Z15" s="34">
        <f>SUM(Z16:Z19)</f>
        <v>211447.39</v>
      </c>
      <c r="AA15" s="34"/>
      <c r="AB15" s="34">
        <f>SUM(AB16:AB19)</f>
        <v>187828.31</v>
      </c>
      <c r="AC15" s="34"/>
      <c r="AD15" s="34">
        <f>SUM(AD16:AD19)</f>
        <v>283492.31</v>
      </c>
      <c r="AE15" s="34"/>
      <c r="AF15" s="34"/>
      <c r="AG15" s="34">
        <f>SUM(AG16:AG19)</f>
        <v>344092.9</v>
      </c>
      <c r="AH15" s="34"/>
      <c r="AI15" s="34">
        <f>SUM(AI16:AI19)</f>
        <v>167891</v>
      </c>
      <c r="AJ15" s="72">
        <v>487044.59</v>
      </c>
      <c r="AL15" s="72">
        <v>461827.79</v>
      </c>
      <c r="AM15" s="72">
        <v>431229.86</v>
      </c>
      <c r="AN15" s="72">
        <v>406758.81</v>
      </c>
      <c r="AO15" s="72">
        <v>369691.94</v>
      </c>
      <c r="AP15" s="72">
        <v>344745.79</v>
      </c>
      <c r="AQ15" s="72">
        <v>312081.2</v>
      </c>
      <c r="AR15" s="72">
        <v>277293.21999999997</v>
      </c>
      <c r="AS15" s="72">
        <v>244005.86</v>
      </c>
      <c r="AT15" s="120">
        <v>211097.39</v>
      </c>
      <c r="AU15" s="72">
        <f t="shared" ref="AU15:BA15" si="0">SUM(AU16:AU20)</f>
        <v>55357.54</v>
      </c>
      <c r="AV15" s="72">
        <f t="shared" si="0"/>
        <v>55048.73</v>
      </c>
      <c r="AW15" s="72">
        <f t="shared" si="0"/>
        <v>83703.360000000001</v>
      </c>
      <c r="AX15" s="72">
        <f t="shared" si="0"/>
        <v>53169.04</v>
      </c>
      <c r="AY15" s="72">
        <f t="shared" si="0"/>
        <v>518.58000000000004</v>
      </c>
      <c r="AZ15" s="72">
        <f t="shared" si="0"/>
        <v>3298.06</v>
      </c>
      <c r="BA15" s="72">
        <f t="shared" si="0"/>
        <v>52170.73</v>
      </c>
      <c r="BC15" s="72">
        <f>SUM(BC16:BC20)</f>
        <v>51870.82</v>
      </c>
      <c r="BD15" s="72"/>
      <c r="BE15" s="72">
        <f>SUM(BE16:BE20)</f>
        <v>51854.57</v>
      </c>
      <c r="BG15" s="72">
        <f>SUM(BG16:BG20)</f>
        <v>51800.37</v>
      </c>
      <c r="BI15" s="72">
        <f>SUM(BI16:BI20)</f>
        <v>-1229.81</v>
      </c>
      <c r="BK15" s="72">
        <f>SUM(BK16:BK20)</f>
        <v>-31.39</v>
      </c>
      <c r="BM15" s="72">
        <f>SUM(BM16:BM20)</f>
        <v>1588.45</v>
      </c>
      <c r="BO15" s="72">
        <f>SUM(BO16:BO20)</f>
        <v>967.81</v>
      </c>
      <c r="BQ15" s="72">
        <f>SUM(BQ16:BQ20)</f>
        <v>1049.44</v>
      </c>
      <c r="BS15" s="72">
        <f>SUM(BS16:BS20)</f>
        <v>4299.6899999999996</v>
      </c>
      <c r="BU15" s="72">
        <f>SUM(BU16:BU20)</f>
        <v>2378.21</v>
      </c>
      <c r="BW15" s="72">
        <f>SUM(BW16:BW20)</f>
        <v>50443.27</v>
      </c>
      <c r="BY15" s="72">
        <f>SUM(BY16:BY20)</f>
        <v>50518.2</v>
      </c>
      <c r="CA15" s="72">
        <f>SUM(CA16:CA20)</f>
        <v>50594.080000000002</v>
      </c>
      <c r="CB15" s="21"/>
      <c r="CC15" s="71">
        <f>SUM(CC16:CC20)</f>
        <v>50667.71</v>
      </c>
      <c r="CD15" s="21"/>
      <c r="CE15" s="35">
        <f>SUM(CE16:CE20)</f>
        <v>0</v>
      </c>
      <c r="CF15" s="21"/>
      <c r="CG15" s="35">
        <f>SUM(CG16:CG20)</f>
        <v>0</v>
      </c>
      <c r="CH15" s="21"/>
      <c r="CI15" s="35">
        <f>SUM(CI16:CI20)</f>
        <v>0</v>
      </c>
      <c r="CJ15" s="35"/>
      <c r="CK15" s="73">
        <f>SUM(CK16:CK20)</f>
        <v>0</v>
      </c>
      <c r="CL15" s="48"/>
      <c r="CM15" s="71">
        <f>SUM(CM16:CM20)</f>
        <v>0</v>
      </c>
      <c r="CN15" s="48"/>
      <c r="CO15" s="71">
        <f>SUM(CO16:CO20)</f>
        <v>0</v>
      </c>
      <c r="CP15" s="48"/>
      <c r="CQ15" s="71">
        <f>SUM(CQ16:CQ20)</f>
        <v>0</v>
      </c>
      <c r="CR15" s="48"/>
      <c r="CS15" s="71">
        <f>SUM(CS16:CS20)</f>
        <v>0</v>
      </c>
      <c r="CT15" s="71"/>
      <c r="CU15" s="71">
        <f>SUM(CU16:CU20)</f>
        <v>51715.9</v>
      </c>
      <c r="CV15" s="71"/>
      <c r="CW15" s="71">
        <f>SUM(CW16:CW20)</f>
        <v>48810.28</v>
      </c>
      <c r="CX15" s="71"/>
      <c r="CY15" s="71">
        <f>SUM(CY16:CY20)</f>
        <v>49923.43</v>
      </c>
      <c r="CZ15" s="71"/>
      <c r="DA15" s="71">
        <f>SUM(DA16:DA20)</f>
        <v>4040.55</v>
      </c>
      <c r="DB15" s="71"/>
      <c r="DC15" s="71">
        <f>SUM(DC16:DC20)</f>
        <v>52731.33</v>
      </c>
      <c r="DD15" s="71"/>
      <c r="DE15" s="71">
        <f>SUM(DE16:DE20)</f>
        <v>52866.37</v>
      </c>
      <c r="DF15" s="71"/>
      <c r="DG15" s="71">
        <f>SUM(DG16:DG20)</f>
        <v>54999.519999999997</v>
      </c>
      <c r="DH15" s="71"/>
      <c r="DI15" s="71">
        <f>SUM(DI16:DI20)</f>
        <v>54132.69</v>
      </c>
      <c r="DJ15" s="71"/>
      <c r="DK15" s="71">
        <f>SUM(DK16:DK20)</f>
        <v>53266.53</v>
      </c>
      <c r="DL15" s="71"/>
      <c r="DM15" s="71">
        <f>SUM(DM16:DM20)</f>
        <v>53476.480000000003</v>
      </c>
      <c r="DN15" s="71"/>
      <c r="DO15" s="71">
        <f>SUM(DO16:DO20)</f>
        <v>53687.27</v>
      </c>
      <c r="DP15" s="71"/>
      <c r="DQ15" s="71">
        <f>SUM(DQ16:DQ20)</f>
        <v>52897.67</v>
      </c>
      <c r="DR15" s="71"/>
      <c r="DS15" s="71">
        <f>SUM(DS16:DS20)</f>
        <v>53104.14</v>
      </c>
      <c r="DT15" s="71"/>
      <c r="DU15" s="71">
        <f>SUM(DU16:DU20)</f>
        <v>52316.5</v>
      </c>
      <c r="DV15" s="71"/>
      <c r="DW15" s="71">
        <f>SUM(DW16:DW20)</f>
        <v>51533.11</v>
      </c>
      <c r="DX15" s="71"/>
      <c r="DY15" s="71">
        <f>SUM(DY16:DY20)</f>
        <v>51197.48</v>
      </c>
      <c r="DZ15" s="71"/>
      <c r="EA15" s="71">
        <f>SUM(EA16:EA20)</f>
        <v>51410.71</v>
      </c>
      <c r="EB15" s="71"/>
      <c r="EC15" s="46"/>
      <c r="ED15" s="50"/>
    </row>
    <row r="16" spans="1:219" ht="22.5" customHeight="1" x14ac:dyDescent="0.25">
      <c r="C16" s="46" t="s">
        <v>63</v>
      </c>
      <c r="G16" s="37">
        <v>21000</v>
      </c>
      <c r="H16" s="33"/>
      <c r="I16" s="37">
        <v>3000</v>
      </c>
      <c r="J16" s="33"/>
      <c r="K16" s="37">
        <v>49750</v>
      </c>
      <c r="L16" s="33"/>
      <c r="M16" s="37">
        <v>14000</v>
      </c>
      <c r="N16" s="33"/>
      <c r="O16" s="37">
        <v>0</v>
      </c>
      <c r="P16" s="33"/>
      <c r="Q16" s="37">
        <v>0</v>
      </c>
      <c r="R16" s="33"/>
      <c r="S16" s="33"/>
      <c r="T16" s="37">
        <v>0</v>
      </c>
      <c r="U16" s="33"/>
      <c r="V16" s="33"/>
      <c r="W16" s="37">
        <v>0</v>
      </c>
      <c r="X16" s="33"/>
      <c r="Y16" s="33"/>
      <c r="Z16" s="37">
        <v>0</v>
      </c>
      <c r="AA16" s="33"/>
      <c r="AB16" s="37">
        <v>0</v>
      </c>
      <c r="AC16" s="33"/>
      <c r="AD16" s="37">
        <v>0</v>
      </c>
      <c r="AE16" s="36"/>
      <c r="AF16" s="38"/>
      <c r="AG16" s="37">
        <v>0</v>
      </c>
      <c r="AH16" s="33"/>
      <c r="AI16" s="37">
        <v>117891</v>
      </c>
      <c r="AJ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>
        <v>15834.31</v>
      </c>
      <c r="AX16" s="76"/>
      <c r="AY16" s="76"/>
      <c r="AZ16" s="76"/>
      <c r="BA16" s="76"/>
      <c r="BC16" s="76"/>
      <c r="BD16" s="76"/>
      <c r="BE16" s="76"/>
      <c r="BG16" s="76"/>
      <c r="BI16" s="76"/>
      <c r="BK16" s="76"/>
      <c r="BM16" s="76"/>
      <c r="BO16" s="76"/>
      <c r="BQ16" s="76"/>
      <c r="BS16" s="76"/>
      <c r="BU16" s="76"/>
      <c r="BW16" s="77"/>
      <c r="BY16" s="77"/>
      <c r="CA16" s="77"/>
      <c r="CB16" s="21"/>
      <c r="CC16" s="78"/>
      <c r="CD16" s="21"/>
      <c r="CE16" s="40"/>
      <c r="CF16" s="21"/>
      <c r="CG16" s="40"/>
      <c r="CH16" s="21"/>
      <c r="CI16" s="40"/>
      <c r="CJ16" s="35"/>
      <c r="CK16" s="79"/>
      <c r="CL16" s="48"/>
      <c r="CM16" s="79"/>
      <c r="CN16" s="73"/>
      <c r="CO16" s="79"/>
      <c r="CP16" s="73"/>
      <c r="CQ16" s="79"/>
      <c r="CR16" s="48"/>
      <c r="CS16" s="79"/>
      <c r="CT16" s="80"/>
      <c r="CU16" s="78"/>
      <c r="CV16" s="80"/>
      <c r="CW16" s="78"/>
      <c r="CX16" s="80"/>
      <c r="CY16" s="78"/>
      <c r="CZ16" s="80"/>
      <c r="DA16" s="78"/>
      <c r="DB16" s="80"/>
      <c r="DC16" s="78"/>
      <c r="DD16" s="80"/>
      <c r="DE16" s="78"/>
      <c r="DF16" s="80"/>
      <c r="DG16" s="78"/>
      <c r="DH16" s="80"/>
      <c r="DI16" s="78"/>
      <c r="DJ16" s="80"/>
      <c r="DK16" s="78"/>
      <c r="DL16" s="80"/>
      <c r="DM16" s="78"/>
      <c r="DN16" s="80"/>
      <c r="DO16" s="78"/>
      <c r="DP16" s="80"/>
      <c r="DQ16" s="78"/>
      <c r="DR16" s="80"/>
      <c r="DS16" s="78"/>
      <c r="DT16" s="80"/>
      <c r="DU16" s="78"/>
      <c r="DV16" s="80"/>
      <c r="DW16" s="78"/>
      <c r="DX16" s="80"/>
      <c r="DY16" s="78"/>
      <c r="DZ16" s="80"/>
      <c r="EA16" s="78"/>
      <c r="EB16" s="80"/>
      <c r="EC16" s="46"/>
      <c r="ED16" s="50"/>
    </row>
    <row r="17" spans="1:152" ht="23.1" customHeight="1" x14ac:dyDescent="0.25">
      <c r="C17" s="20" t="s">
        <v>62</v>
      </c>
      <c r="G17" s="173">
        <v>0</v>
      </c>
      <c r="H17" s="182"/>
      <c r="I17" s="173">
        <v>0</v>
      </c>
      <c r="J17" s="182"/>
      <c r="K17" s="173">
        <v>0</v>
      </c>
      <c r="L17" s="33"/>
      <c r="M17" s="181">
        <f>48788.21+212168.34+2000</f>
        <v>262956.55</v>
      </c>
      <c r="N17" s="33"/>
      <c r="O17" s="181">
        <f>42240.21+48788.21</f>
        <v>91028.42</v>
      </c>
      <c r="P17" s="138"/>
      <c r="Q17" s="181">
        <v>42240.21</v>
      </c>
      <c r="R17" s="138"/>
      <c r="S17" s="138"/>
      <c r="T17" s="181">
        <v>42240.21</v>
      </c>
      <c r="U17" s="33"/>
      <c r="V17" s="33"/>
      <c r="W17" s="39">
        <v>0</v>
      </c>
      <c r="X17" s="33"/>
      <c r="Y17" s="33"/>
      <c r="Z17" s="39">
        <v>0</v>
      </c>
      <c r="AA17" s="33"/>
      <c r="AB17" s="39">
        <v>0</v>
      </c>
      <c r="AC17" s="33"/>
      <c r="AD17" s="39">
        <v>0</v>
      </c>
      <c r="AE17" s="36"/>
      <c r="AF17" s="40" t="e">
        <f>-#REF!-#REF!-#REF!-#REF!-#REF!-#REF!-#REF!</f>
        <v>#REF!</v>
      </c>
      <c r="AG17" s="39">
        <v>0</v>
      </c>
      <c r="AH17" s="33"/>
      <c r="AI17" s="39">
        <v>50000</v>
      </c>
      <c r="AJ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>
        <v>15834.31</v>
      </c>
      <c r="AX17" s="76"/>
      <c r="AY17" s="76"/>
      <c r="AZ17" s="76"/>
      <c r="BA17" s="76"/>
      <c r="BC17" s="76"/>
      <c r="BD17" s="76"/>
      <c r="BE17" s="76"/>
      <c r="BG17" s="76"/>
      <c r="BI17" s="76"/>
      <c r="BK17" s="76"/>
      <c r="BM17" s="76"/>
      <c r="BO17" s="76"/>
      <c r="BQ17" s="76"/>
      <c r="BS17" s="76"/>
      <c r="BU17" s="76"/>
      <c r="BW17" s="77"/>
      <c r="BY17" s="77"/>
      <c r="CA17" s="77"/>
      <c r="CB17" s="21"/>
      <c r="CC17" s="78"/>
      <c r="CD17" s="21"/>
      <c r="CE17" s="40"/>
      <c r="CF17" s="21"/>
      <c r="CG17" s="40"/>
      <c r="CH17" s="21"/>
      <c r="CI17" s="40"/>
      <c r="CJ17" s="35"/>
      <c r="CK17" s="79"/>
      <c r="CL17" s="48"/>
      <c r="CM17" s="79"/>
      <c r="CN17" s="73"/>
      <c r="CO17" s="79"/>
      <c r="CP17" s="73"/>
      <c r="CQ17" s="79"/>
      <c r="CR17" s="48"/>
      <c r="CS17" s="79"/>
      <c r="CT17" s="80"/>
      <c r="CU17" s="78"/>
      <c r="CV17" s="80"/>
      <c r="CW17" s="78"/>
      <c r="CX17" s="80"/>
      <c r="CY17" s="78"/>
      <c r="CZ17" s="80"/>
      <c r="DA17" s="78"/>
      <c r="DB17" s="80"/>
      <c r="DC17" s="78"/>
      <c r="DD17" s="80"/>
      <c r="DE17" s="78"/>
      <c r="DF17" s="80"/>
      <c r="DG17" s="78"/>
      <c r="DH17" s="80"/>
      <c r="DI17" s="78"/>
      <c r="DJ17" s="80"/>
      <c r="DK17" s="78"/>
      <c r="DL17" s="80"/>
      <c r="DM17" s="78"/>
      <c r="DN17" s="80"/>
      <c r="DO17" s="78"/>
      <c r="DP17" s="80"/>
      <c r="DQ17" s="78"/>
      <c r="DR17" s="80"/>
      <c r="DS17" s="78"/>
      <c r="DT17" s="80"/>
      <c r="DU17" s="78"/>
      <c r="DV17" s="80"/>
      <c r="DW17" s="78"/>
      <c r="DX17" s="80"/>
      <c r="DY17" s="78"/>
      <c r="DZ17" s="80"/>
      <c r="EA17" s="78"/>
      <c r="EB17" s="80"/>
      <c r="EC17" s="46"/>
      <c r="ED17" s="50"/>
      <c r="EU17" s="125">
        <v>172400</v>
      </c>
      <c r="EV17" s="20" t="s">
        <v>35</v>
      </c>
    </row>
    <row r="18" spans="1:152" ht="23.1" customHeight="1" x14ac:dyDescent="0.25">
      <c r="C18" s="20" t="s">
        <v>76</v>
      </c>
      <c r="G18" s="39">
        <v>800804.37</v>
      </c>
      <c r="H18" s="33"/>
      <c r="I18" s="39">
        <v>779504.07</v>
      </c>
      <c r="J18" s="33"/>
      <c r="K18" s="39">
        <v>687709.39</v>
      </c>
      <c r="L18" s="33"/>
      <c r="M18" s="39">
        <v>473033.59</v>
      </c>
      <c r="N18" s="33"/>
      <c r="O18" s="39">
        <v>321741.34000000003</v>
      </c>
      <c r="P18" s="33"/>
      <c r="Q18" s="39">
        <v>129469.89</v>
      </c>
      <c r="R18" s="33"/>
      <c r="S18" s="33"/>
      <c r="T18" s="39">
        <v>47696.84</v>
      </c>
      <c r="U18" s="33"/>
      <c r="V18" s="33"/>
      <c r="W18" s="39">
        <v>210617.99</v>
      </c>
      <c r="X18" s="33"/>
      <c r="Y18" s="33"/>
      <c r="Z18" s="39">
        <v>211447.39</v>
      </c>
      <c r="AA18" s="33"/>
      <c r="AB18" s="39">
        <v>187828.31</v>
      </c>
      <c r="AC18" s="33"/>
      <c r="AD18" s="39">
        <v>283492.31</v>
      </c>
      <c r="AE18" s="36"/>
      <c r="AF18" s="40"/>
      <c r="AG18" s="39">
        <v>344092.9</v>
      </c>
      <c r="AH18" s="33"/>
      <c r="AI18" s="39"/>
      <c r="AJ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C18" s="76"/>
      <c r="BD18" s="76"/>
      <c r="BE18" s="76"/>
      <c r="BG18" s="76"/>
      <c r="BI18" s="76"/>
      <c r="BK18" s="76"/>
      <c r="BM18" s="76"/>
      <c r="BO18" s="76"/>
      <c r="BQ18" s="76"/>
      <c r="BS18" s="76"/>
      <c r="BU18" s="76"/>
      <c r="BW18" s="77"/>
      <c r="BY18" s="77"/>
      <c r="CA18" s="77"/>
      <c r="CB18" s="21"/>
      <c r="CC18" s="78"/>
      <c r="CD18" s="21"/>
      <c r="CE18" s="40"/>
      <c r="CF18" s="21"/>
      <c r="CG18" s="40"/>
      <c r="CH18" s="21"/>
      <c r="CI18" s="40"/>
      <c r="CJ18" s="35"/>
      <c r="CK18" s="79"/>
      <c r="CL18" s="48"/>
      <c r="CM18" s="79"/>
      <c r="CN18" s="73"/>
      <c r="CO18" s="79"/>
      <c r="CP18" s="73"/>
      <c r="CQ18" s="79"/>
      <c r="CR18" s="48"/>
      <c r="CS18" s="79"/>
      <c r="CT18" s="80"/>
      <c r="CU18" s="78"/>
      <c r="CV18" s="80"/>
      <c r="CW18" s="78"/>
      <c r="CX18" s="80"/>
      <c r="CY18" s="78"/>
      <c r="CZ18" s="80"/>
      <c r="DA18" s="78"/>
      <c r="DB18" s="80"/>
      <c r="DC18" s="78"/>
      <c r="DD18" s="80"/>
      <c r="DE18" s="78"/>
      <c r="DF18" s="80"/>
      <c r="DG18" s="78"/>
      <c r="DH18" s="80"/>
      <c r="DI18" s="78"/>
      <c r="DJ18" s="80"/>
      <c r="DK18" s="78"/>
      <c r="DL18" s="80"/>
      <c r="DM18" s="78"/>
      <c r="DN18" s="80"/>
      <c r="DO18" s="78"/>
      <c r="DP18" s="80"/>
      <c r="DQ18" s="78"/>
      <c r="DR18" s="80"/>
      <c r="DS18" s="78"/>
      <c r="DT18" s="80"/>
      <c r="DU18" s="78"/>
      <c r="DV18" s="80"/>
      <c r="DW18" s="78"/>
      <c r="DX18" s="80"/>
      <c r="DY18" s="78"/>
      <c r="DZ18" s="80"/>
      <c r="EA18" s="78"/>
      <c r="EB18" s="80"/>
      <c r="EC18" s="46"/>
      <c r="ED18" s="50"/>
    </row>
    <row r="19" spans="1:152" ht="9.75" customHeight="1" x14ac:dyDescent="0.25">
      <c r="G19" s="41"/>
      <c r="H19" s="33"/>
      <c r="I19" s="41"/>
      <c r="J19" s="33"/>
      <c r="K19" s="41"/>
      <c r="L19" s="33"/>
      <c r="M19" s="41"/>
      <c r="N19" s="33"/>
      <c r="O19" s="41"/>
      <c r="P19" s="33"/>
      <c r="Q19" s="41"/>
      <c r="R19" s="33"/>
      <c r="S19" s="33"/>
      <c r="T19" s="41"/>
      <c r="U19" s="33"/>
      <c r="V19" s="33"/>
      <c r="W19" s="41"/>
      <c r="X19" s="33"/>
      <c r="Y19" s="33"/>
      <c r="Z19" s="41"/>
      <c r="AA19" s="33"/>
      <c r="AB19" s="41"/>
      <c r="AC19" s="33"/>
      <c r="AD19" s="41"/>
      <c r="AE19" s="36"/>
      <c r="AF19" s="42"/>
      <c r="AG19" s="41"/>
      <c r="AH19" s="33"/>
      <c r="AI19" s="41"/>
      <c r="AJ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>
        <v>0</v>
      </c>
      <c r="AX19" s="76">
        <v>0</v>
      </c>
      <c r="AY19" s="76">
        <v>0</v>
      </c>
      <c r="AZ19" s="76">
        <v>3000</v>
      </c>
      <c r="BA19" s="76"/>
      <c r="BC19" s="76"/>
      <c r="BD19" s="76"/>
      <c r="BE19" s="76"/>
      <c r="BG19" s="76"/>
      <c r="BI19" s="76"/>
      <c r="BK19" s="76"/>
      <c r="BM19" s="76"/>
      <c r="BO19" s="76"/>
      <c r="BQ19" s="76"/>
      <c r="BS19" s="76"/>
      <c r="BU19" s="76"/>
      <c r="BW19" s="77"/>
      <c r="BY19" s="77"/>
      <c r="CA19" s="77"/>
      <c r="CB19" s="21"/>
      <c r="CC19" s="78"/>
      <c r="CD19" s="21"/>
      <c r="CE19" s="40"/>
      <c r="CF19" s="21"/>
      <c r="CG19" s="40"/>
      <c r="CH19" s="21"/>
      <c r="CI19" s="40"/>
      <c r="CJ19" s="35"/>
      <c r="CK19" s="79"/>
      <c r="CL19" s="48"/>
      <c r="CM19" s="79"/>
      <c r="CN19" s="73"/>
      <c r="CO19" s="79"/>
      <c r="CP19" s="73"/>
      <c r="CQ19" s="79"/>
      <c r="CR19" s="48"/>
      <c r="CS19" s="79"/>
      <c r="CT19" s="80"/>
      <c r="CU19" s="78"/>
      <c r="CV19" s="80"/>
      <c r="CW19" s="78"/>
      <c r="CX19" s="80"/>
      <c r="CY19" s="78"/>
      <c r="CZ19" s="80"/>
      <c r="DA19" s="78"/>
      <c r="DB19" s="80"/>
      <c r="DC19" s="78"/>
      <c r="DD19" s="80"/>
      <c r="DE19" s="78"/>
      <c r="DF19" s="80"/>
      <c r="DG19" s="78"/>
      <c r="DH19" s="80"/>
      <c r="DI19" s="78"/>
      <c r="DJ19" s="80"/>
      <c r="DK19" s="78"/>
      <c r="DL19" s="80"/>
      <c r="DM19" s="78"/>
      <c r="DN19" s="80"/>
      <c r="DO19" s="78"/>
      <c r="DP19" s="80"/>
      <c r="DQ19" s="78"/>
      <c r="DR19" s="80"/>
      <c r="DS19" s="78"/>
      <c r="DT19" s="80"/>
      <c r="DU19" s="78"/>
      <c r="DV19" s="80"/>
      <c r="DW19" s="78"/>
      <c r="DX19" s="80"/>
      <c r="DY19" s="78"/>
      <c r="DZ19" s="80"/>
      <c r="EA19" s="78"/>
      <c r="EB19" s="80"/>
      <c r="EC19" s="46"/>
      <c r="ED19" s="50"/>
    </row>
    <row r="20" spans="1:152" ht="23.1" customHeight="1" x14ac:dyDescent="0.25"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76">
        <v>7522.65</v>
      </c>
      <c r="AL20" s="76">
        <v>7450.62</v>
      </c>
      <c r="AM20" s="76">
        <v>4415.38</v>
      </c>
      <c r="AN20" s="76">
        <v>9233.2199999999993</v>
      </c>
      <c r="AO20" s="76">
        <v>2813.4</v>
      </c>
      <c r="AP20" s="76">
        <v>1003.92</v>
      </c>
      <c r="AQ20" s="76">
        <v>1612.13</v>
      </c>
      <c r="AR20" s="76">
        <v>237.12</v>
      </c>
      <c r="AS20" s="76">
        <v>308.2</v>
      </c>
      <c r="AT20" s="76">
        <v>1673.36</v>
      </c>
      <c r="AU20" s="76">
        <v>55357.54</v>
      </c>
      <c r="AV20" s="76">
        <v>55048.73</v>
      </c>
      <c r="AW20" s="76">
        <v>52034.74</v>
      </c>
      <c r="AX20" s="76">
        <v>53169.04</v>
      </c>
      <c r="AY20" s="76">
        <v>518.58000000000004</v>
      </c>
      <c r="AZ20" s="76">
        <v>298.06</v>
      </c>
      <c r="BA20" s="76">
        <v>52170.73</v>
      </c>
      <c r="BC20" s="76">
        <v>51870.82</v>
      </c>
      <c r="BD20" s="76"/>
      <c r="BE20" s="76">
        <v>51854.57</v>
      </c>
      <c r="BG20" s="76">
        <v>51800.37</v>
      </c>
      <c r="BI20" s="76">
        <v>-1229.81</v>
      </c>
      <c r="BK20" s="76">
        <f>-61.6+30.21</f>
        <v>-31.39</v>
      </c>
      <c r="BM20" s="76">
        <v>1588.45</v>
      </c>
      <c r="BO20" s="76">
        <v>967.81</v>
      </c>
      <c r="BQ20" s="76">
        <v>1049.44</v>
      </c>
      <c r="BS20" s="76">
        <v>4299.6899999999996</v>
      </c>
      <c r="BU20" s="76">
        <v>2378.21</v>
      </c>
      <c r="BW20" s="81">
        <v>50443.27</v>
      </c>
      <c r="BY20" s="81">
        <v>50518.2</v>
      </c>
      <c r="CA20" s="81">
        <v>50594.080000000002</v>
      </c>
      <c r="CB20" s="21"/>
      <c r="CC20" s="82">
        <v>50667.71</v>
      </c>
      <c r="CD20" s="21"/>
      <c r="CE20" s="40">
        <v>0</v>
      </c>
      <c r="CF20" s="21"/>
      <c r="CG20" s="40">
        <v>0</v>
      </c>
      <c r="CH20" s="21"/>
      <c r="CI20" s="40">
        <v>0</v>
      </c>
      <c r="CJ20" s="35"/>
      <c r="CK20" s="79">
        <v>0</v>
      </c>
      <c r="CL20" s="48"/>
      <c r="CM20" s="83">
        <v>0</v>
      </c>
      <c r="CN20" s="48"/>
      <c r="CO20" s="83">
        <v>0</v>
      </c>
      <c r="CP20" s="48"/>
      <c r="CQ20" s="83">
        <v>0</v>
      </c>
      <c r="CR20" s="48"/>
      <c r="CS20" s="83">
        <v>0</v>
      </c>
      <c r="CT20" s="84"/>
      <c r="CU20" s="82">
        <v>51715.9</v>
      </c>
      <c r="CV20" s="84"/>
      <c r="CW20" s="82">
        <v>48810.28</v>
      </c>
      <c r="CX20" s="84"/>
      <c r="CY20" s="82">
        <v>49923.43</v>
      </c>
      <c r="CZ20" s="84"/>
      <c r="DA20" s="82">
        <v>4040.55</v>
      </c>
      <c r="DB20" s="84"/>
      <c r="DC20" s="82">
        <v>52731.33</v>
      </c>
      <c r="DD20" s="84"/>
      <c r="DE20" s="82">
        <v>52866.37</v>
      </c>
      <c r="DF20" s="84"/>
      <c r="DG20" s="82">
        <v>54999.519999999997</v>
      </c>
      <c r="DH20" s="84"/>
      <c r="DI20" s="82">
        <v>54132.69</v>
      </c>
      <c r="DJ20" s="84"/>
      <c r="DK20" s="82">
        <v>53266.53</v>
      </c>
      <c r="DL20" s="84"/>
      <c r="DM20" s="82">
        <v>53476.480000000003</v>
      </c>
      <c r="DN20" s="84"/>
      <c r="DO20" s="82">
        <v>53687.27</v>
      </c>
      <c r="DP20" s="84"/>
      <c r="DQ20" s="82">
        <v>52897.67</v>
      </c>
      <c r="DR20" s="84"/>
      <c r="DS20" s="82">
        <v>53104.14</v>
      </c>
      <c r="DT20" s="84"/>
      <c r="DU20" s="82">
        <v>52316.5</v>
      </c>
      <c r="DV20" s="84"/>
      <c r="DW20" s="82">
        <v>51533.11</v>
      </c>
      <c r="DX20" s="84"/>
      <c r="DY20" s="82">
        <v>51197.48</v>
      </c>
      <c r="DZ20" s="84"/>
      <c r="EA20" s="82">
        <v>51410.71</v>
      </c>
      <c r="EB20" s="84"/>
      <c r="EC20" s="46"/>
      <c r="ED20" s="50"/>
    </row>
    <row r="21" spans="1:152" ht="8.1" customHeight="1" x14ac:dyDescent="0.25"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>
        <f>SUM(AF23:AF28)</f>
        <v>0</v>
      </c>
      <c r="AG21" s="35"/>
      <c r="AH21" s="35"/>
      <c r="AI21" s="35"/>
      <c r="AJ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C21" s="91"/>
      <c r="BD21" s="91"/>
      <c r="BE21" s="91"/>
      <c r="BG21" s="91"/>
      <c r="BI21" s="91"/>
      <c r="BK21" s="91"/>
      <c r="BM21" s="91"/>
      <c r="BO21" s="91"/>
      <c r="BQ21" s="91"/>
      <c r="BS21" s="91"/>
      <c r="BU21" s="91"/>
      <c r="BW21" s="92"/>
      <c r="BY21" s="92"/>
      <c r="CA21" s="92"/>
      <c r="CB21" s="21"/>
      <c r="CC21" s="93"/>
      <c r="CD21" s="21"/>
      <c r="CE21" s="43"/>
      <c r="CF21" s="21"/>
      <c r="CG21" s="43"/>
      <c r="CH21" s="21"/>
      <c r="CI21" s="43"/>
      <c r="CJ21" s="35"/>
      <c r="CK21" s="94"/>
      <c r="CL21" s="48"/>
      <c r="CM21" s="68"/>
      <c r="CN21" s="48"/>
      <c r="CO21" s="95"/>
      <c r="CP21" s="48"/>
      <c r="CQ21" s="84"/>
      <c r="CR21" s="48"/>
      <c r="CS21" s="53"/>
      <c r="CT21" s="53"/>
      <c r="CU21" s="93"/>
      <c r="CV21" s="53"/>
      <c r="CW21" s="93"/>
      <c r="CX21" s="53"/>
      <c r="CY21" s="93"/>
      <c r="CZ21" s="53"/>
      <c r="DA21" s="93"/>
      <c r="DB21" s="53"/>
      <c r="DC21" s="93"/>
      <c r="DD21" s="53"/>
      <c r="DE21" s="93"/>
      <c r="DF21" s="53"/>
      <c r="DG21" s="93"/>
      <c r="DH21" s="53"/>
      <c r="DI21" s="93"/>
      <c r="DJ21" s="53"/>
      <c r="DK21" s="93"/>
      <c r="DL21" s="53"/>
      <c r="DM21" s="93"/>
      <c r="DN21" s="53"/>
      <c r="DO21" s="93"/>
      <c r="DP21" s="53"/>
      <c r="DQ21" s="93"/>
      <c r="DR21" s="53"/>
      <c r="DS21" s="93"/>
      <c r="DT21" s="53"/>
      <c r="DU21" s="93"/>
      <c r="DV21" s="53"/>
      <c r="DW21" s="93"/>
      <c r="DX21" s="53"/>
      <c r="DY21" s="93"/>
      <c r="DZ21" s="53"/>
      <c r="EA21" s="93"/>
      <c r="EB21" s="53"/>
      <c r="EC21" s="46"/>
      <c r="ED21" s="50"/>
    </row>
    <row r="22" spans="1:152" ht="23.1" customHeight="1" thickBot="1" x14ac:dyDescent="0.4">
      <c r="A22" s="136" t="s">
        <v>39</v>
      </c>
      <c r="B22" s="2"/>
      <c r="G22" s="142">
        <f>G15+G12</f>
        <v>821804.37</v>
      </c>
      <c r="H22" s="183"/>
      <c r="I22" s="142">
        <f>I15+I12</f>
        <v>782504.07</v>
      </c>
      <c r="J22" s="183"/>
      <c r="K22" s="142">
        <f>K15+K12</f>
        <v>737459.39</v>
      </c>
      <c r="L22" s="35"/>
      <c r="M22" s="142">
        <f>M15+M12</f>
        <v>749990.14</v>
      </c>
      <c r="N22" s="35"/>
      <c r="O22" s="142">
        <f>O15+O12</f>
        <v>412769.76</v>
      </c>
      <c r="P22" s="35"/>
      <c r="Q22" s="142">
        <f>Q15+Q12</f>
        <v>171710.1</v>
      </c>
      <c r="R22" s="35"/>
      <c r="S22" s="35"/>
      <c r="T22" s="142">
        <f>T15+T12</f>
        <v>89937.049999999988</v>
      </c>
      <c r="U22" s="35"/>
      <c r="V22" s="35"/>
      <c r="W22" s="142">
        <f>W15+W12</f>
        <v>210617.99</v>
      </c>
      <c r="X22" s="35"/>
      <c r="Y22" s="35"/>
      <c r="Z22" s="142">
        <f>Z15+Z12</f>
        <v>211447.39</v>
      </c>
      <c r="AA22" s="35"/>
      <c r="AB22" s="142">
        <f>AB15+AB12</f>
        <v>187828.31</v>
      </c>
      <c r="AC22" s="35"/>
      <c r="AD22" s="142">
        <f>AD15+AD12</f>
        <v>283492.31</v>
      </c>
      <c r="AE22" s="143"/>
      <c r="AF22" s="143"/>
      <c r="AG22" s="142">
        <f>AG15+AG12</f>
        <v>344092.9</v>
      </c>
      <c r="AH22" s="143"/>
      <c r="AI22" s="142">
        <f>AI15+AI12</f>
        <v>167891</v>
      </c>
      <c r="AJ22" s="96">
        <v>4084284.78</v>
      </c>
      <c r="AL22" s="96">
        <v>4068217.89</v>
      </c>
      <c r="AM22" s="96">
        <v>4046769.88</v>
      </c>
      <c r="AN22" s="96">
        <v>4031448.74</v>
      </c>
      <c r="AO22" s="96">
        <v>4003531.78</v>
      </c>
      <c r="AP22" s="96">
        <v>3987735.54</v>
      </c>
      <c r="AQ22" s="96">
        <v>3964220.86</v>
      </c>
      <c r="AR22" s="96">
        <v>3938582.79</v>
      </c>
      <c r="AS22" s="96">
        <v>3914445.34</v>
      </c>
      <c r="AT22" s="121">
        <v>3890686.78</v>
      </c>
      <c r="AU22" s="96">
        <f t="shared" ref="AU22:BA22" si="1">AU15+AU13</f>
        <v>3744096.84</v>
      </c>
      <c r="AV22" s="96">
        <f t="shared" si="1"/>
        <v>3752937.94</v>
      </c>
      <c r="AW22" s="96">
        <f t="shared" si="1"/>
        <v>3790742.4899999998</v>
      </c>
      <c r="AX22" s="96">
        <f t="shared" si="1"/>
        <v>3769358.08</v>
      </c>
      <c r="AY22" s="96">
        <f t="shared" si="1"/>
        <v>3725857.5300000003</v>
      </c>
      <c r="AZ22" s="96">
        <f t="shared" si="1"/>
        <v>3737786.92</v>
      </c>
      <c r="BA22" s="96">
        <f t="shared" si="1"/>
        <v>3795809.5</v>
      </c>
      <c r="BC22" s="96">
        <f>BC15+BC13</f>
        <v>3804659.5</v>
      </c>
      <c r="BD22" s="96"/>
      <c r="BE22" s="96">
        <f>BE15+BE13</f>
        <v>3813793.1599999997</v>
      </c>
      <c r="BG22" s="96">
        <f>BG15+BG13</f>
        <v>3822888.87</v>
      </c>
      <c r="BI22" s="96">
        <f>BI15+BI13</f>
        <v>3779008.6</v>
      </c>
      <c r="BK22" s="96">
        <f>BK15+BK13</f>
        <v>3789356.9299999997</v>
      </c>
      <c r="BM22" s="96">
        <f>BM15+BM13</f>
        <v>3800126.68</v>
      </c>
      <c r="BO22" s="96">
        <f>BO15+BO13</f>
        <v>3808655.95</v>
      </c>
      <c r="BQ22" s="96">
        <f>BQ15+BQ13</f>
        <v>3817887.5</v>
      </c>
      <c r="BS22" s="96">
        <f>BS15+BS13</f>
        <v>3864764.94</v>
      </c>
      <c r="BU22" s="96">
        <f>BU15+BU13</f>
        <v>3871993.3699999996</v>
      </c>
      <c r="BW22" s="96">
        <f>BW15+BW13</f>
        <v>3929208.34</v>
      </c>
      <c r="BY22" s="96">
        <f>BY15+BY13</f>
        <v>3938433.18</v>
      </c>
      <c r="CA22" s="96">
        <f>CA15+CA13</f>
        <v>3947658.9699999997</v>
      </c>
      <c r="CB22" s="21"/>
      <c r="CC22" s="84">
        <f>CC15+CC13</f>
        <v>3956882.51</v>
      </c>
      <c r="CD22" s="21"/>
      <c r="CE22" s="35">
        <f>CE15+CE13</f>
        <v>0</v>
      </c>
      <c r="CF22" s="21"/>
      <c r="CG22" s="35">
        <f>CG15+CG13</f>
        <v>0</v>
      </c>
      <c r="CH22" s="21"/>
      <c r="CI22" s="35">
        <f>CI15+CI13</f>
        <v>0</v>
      </c>
      <c r="CJ22" s="35"/>
      <c r="CK22" s="73">
        <f>CK15+CK13</f>
        <v>0</v>
      </c>
      <c r="CL22" s="48"/>
      <c r="CM22" s="73">
        <f>CM15+CM13</f>
        <v>0</v>
      </c>
      <c r="CN22" s="48"/>
      <c r="CO22" s="73">
        <f>CO15+CO13</f>
        <v>0</v>
      </c>
      <c r="CP22" s="48"/>
      <c r="CQ22" s="73">
        <f>CQ15+CQ13</f>
        <v>0</v>
      </c>
      <c r="CR22" s="48"/>
      <c r="CS22" s="73">
        <f>CS15+CS13</f>
        <v>0</v>
      </c>
      <c r="CT22" s="73"/>
      <c r="CU22" s="84">
        <f>CU15+CU13</f>
        <v>3967080.61</v>
      </c>
      <c r="CV22" s="73"/>
      <c r="CW22" s="84">
        <f>CW15+CW13</f>
        <v>3973324.8999999994</v>
      </c>
      <c r="CX22" s="73"/>
      <c r="CY22" s="84">
        <f>CY15+CY13</f>
        <v>3983587.96</v>
      </c>
      <c r="CZ22" s="73"/>
      <c r="DA22" s="84">
        <f>DA15+DA13</f>
        <v>3946854.9899999998</v>
      </c>
      <c r="DB22" s="73"/>
      <c r="DC22" s="84">
        <f>DC15+DC13</f>
        <v>4080079.85</v>
      </c>
      <c r="DD22" s="73"/>
      <c r="DE22" s="84">
        <f>DE15+DE13</f>
        <v>4089427.34</v>
      </c>
      <c r="DF22" s="73"/>
      <c r="DG22" s="84">
        <f>DG15+DG13</f>
        <v>4100772.92</v>
      </c>
      <c r="DH22" s="73"/>
      <c r="DI22" s="84">
        <f>DI15+DI13</f>
        <v>4109118.53</v>
      </c>
      <c r="DJ22" s="73"/>
      <c r="DK22" s="84">
        <f>DK15+DK13</f>
        <v>4117464.8</v>
      </c>
      <c r="DL22" s="73"/>
      <c r="DM22" s="84">
        <f>DM15+DM13</f>
        <v>4127053.7</v>
      </c>
      <c r="DN22" s="73"/>
      <c r="DO22" s="84">
        <f>DO15+DO13</f>
        <v>4136643.45</v>
      </c>
      <c r="DP22" s="73"/>
      <c r="DQ22" s="84">
        <f>DQ15+DQ13</f>
        <v>4145232.8</v>
      </c>
      <c r="DR22" s="73"/>
      <c r="DS22" s="84">
        <f>DS15+DS13</f>
        <v>4154818.22</v>
      </c>
      <c r="DT22" s="73"/>
      <c r="DU22" s="84">
        <f>DU15+DU13</f>
        <v>4163409.5300000003</v>
      </c>
      <c r="DV22" s="73"/>
      <c r="DW22" s="84">
        <f>DW15+DW13</f>
        <v>4172005.09</v>
      </c>
      <c r="DX22" s="73"/>
      <c r="DY22" s="84">
        <f>DY15+DY13</f>
        <v>4183129.81</v>
      </c>
      <c r="DZ22" s="73"/>
      <c r="EA22" s="84">
        <f>EA15+EA13</f>
        <v>3879148.42</v>
      </c>
      <c r="EB22" s="73"/>
      <c r="EC22" s="46"/>
      <c r="ED22" s="50"/>
    </row>
    <row r="23" spans="1:152" ht="8.1" customHeight="1" thickTop="1" thickBot="1" x14ac:dyDescent="0.3"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C23" s="97"/>
      <c r="BD23" s="97"/>
      <c r="BE23" s="97"/>
      <c r="BG23" s="97"/>
      <c r="BI23" s="97"/>
      <c r="BK23" s="97"/>
      <c r="BM23" s="97"/>
      <c r="BO23" s="97"/>
      <c r="BQ23" s="97"/>
      <c r="BS23" s="97"/>
      <c r="BU23" s="97"/>
      <c r="BW23" s="98"/>
      <c r="BY23" s="98"/>
      <c r="CA23" s="98"/>
      <c r="CB23" s="21"/>
      <c r="CC23" s="99"/>
      <c r="CD23" s="21"/>
      <c r="CE23" s="32"/>
      <c r="CF23" s="21"/>
      <c r="CG23" s="32"/>
      <c r="CH23" s="21"/>
      <c r="CI23" s="32"/>
      <c r="CJ23" s="35"/>
      <c r="CK23" s="100"/>
      <c r="CL23" s="48"/>
      <c r="CM23" s="101"/>
      <c r="CN23" s="48"/>
      <c r="CO23" s="101"/>
      <c r="CP23" s="48"/>
      <c r="CQ23" s="101"/>
      <c r="CR23" s="48"/>
      <c r="CS23" s="101"/>
      <c r="CT23" s="53"/>
      <c r="CU23" s="99"/>
      <c r="CV23" s="53"/>
      <c r="CW23" s="99"/>
      <c r="CX23" s="53"/>
      <c r="CY23" s="99"/>
      <c r="CZ23" s="53"/>
      <c r="DA23" s="99"/>
      <c r="DB23" s="53"/>
      <c r="DC23" s="99"/>
      <c r="DD23" s="53"/>
      <c r="DE23" s="99"/>
      <c r="DF23" s="53"/>
      <c r="DG23" s="99"/>
      <c r="DH23" s="53"/>
      <c r="DI23" s="99"/>
      <c r="DJ23" s="53"/>
      <c r="DK23" s="99"/>
      <c r="DL23" s="53"/>
      <c r="DM23" s="99"/>
      <c r="DN23" s="53"/>
      <c r="DO23" s="99"/>
      <c r="DP23" s="53"/>
      <c r="DQ23" s="99"/>
      <c r="DR23" s="53"/>
      <c r="DS23" s="99"/>
      <c r="DT23" s="53"/>
      <c r="DU23" s="99"/>
      <c r="DV23" s="53"/>
      <c r="DW23" s="99"/>
      <c r="DX23" s="53"/>
      <c r="DY23" s="99"/>
      <c r="DZ23" s="53"/>
      <c r="EA23" s="99"/>
      <c r="EB23" s="53"/>
      <c r="EC23" s="46"/>
      <c r="ED23" s="50"/>
    </row>
    <row r="24" spans="1:152" ht="23.1" customHeight="1" thickTop="1" x14ac:dyDescent="0.25"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BW24" s="90"/>
      <c r="BY24" s="90"/>
      <c r="CA24" s="90"/>
      <c r="CB24" s="21"/>
      <c r="CC24" s="48"/>
      <c r="CD24" s="21"/>
      <c r="CE24" s="35"/>
      <c r="CF24" s="21"/>
      <c r="CG24" s="35"/>
      <c r="CH24" s="21"/>
      <c r="CI24" s="35"/>
      <c r="CJ24" s="35"/>
      <c r="CK24" s="73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6"/>
      <c r="ED24" s="50"/>
    </row>
    <row r="25" spans="1:152" ht="23.1" customHeight="1" x14ac:dyDescent="0.25"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BW25" s="74"/>
      <c r="BY25" s="74"/>
      <c r="CA25" s="74"/>
      <c r="CB25" s="21"/>
      <c r="CC25" s="21"/>
      <c r="CD25" s="21"/>
      <c r="CE25" s="35"/>
      <c r="CF25" s="21"/>
      <c r="CG25" s="35"/>
      <c r="CH25" s="21"/>
      <c r="CI25" s="35"/>
      <c r="CJ25" s="35"/>
      <c r="CK25" s="73"/>
      <c r="CL25" s="48"/>
      <c r="CM25" s="71"/>
      <c r="CN25" s="48"/>
      <c r="CO25" s="49"/>
      <c r="CP25" s="48"/>
      <c r="CQ25" s="71"/>
      <c r="CR25" s="48"/>
      <c r="CS25" s="84"/>
      <c r="CT25" s="84"/>
      <c r="CU25" s="68"/>
      <c r="CV25" s="84"/>
      <c r="CW25" s="68"/>
      <c r="CX25" s="84"/>
      <c r="CY25" s="68"/>
      <c r="CZ25" s="84"/>
      <c r="DA25" s="68"/>
      <c r="DB25" s="84"/>
      <c r="DC25" s="68"/>
      <c r="DD25" s="84"/>
      <c r="DE25" s="68"/>
      <c r="DF25" s="84"/>
      <c r="DG25" s="68"/>
      <c r="DH25" s="84"/>
      <c r="DI25" s="68"/>
      <c r="DJ25" s="84"/>
      <c r="DK25" s="68"/>
      <c r="DL25" s="84"/>
      <c r="DM25" s="68"/>
      <c r="DN25" s="84"/>
      <c r="DO25" s="68"/>
      <c r="DP25" s="84"/>
      <c r="DQ25" s="68"/>
      <c r="DR25" s="84"/>
      <c r="DS25" s="68"/>
      <c r="DT25" s="84"/>
      <c r="DU25" s="68"/>
      <c r="DV25" s="84"/>
      <c r="DW25" s="68"/>
      <c r="DX25" s="84"/>
      <c r="DY25" s="68"/>
      <c r="DZ25" s="84"/>
      <c r="EA25" s="68"/>
      <c r="EB25" s="84"/>
      <c r="EC25" s="46"/>
      <c r="ED25" s="50"/>
    </row>
    <row r="26" spans="1:152" ht="23.1" customHeight="1" x14ac:dyDescent="0.25"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BW26" s="74"/>
      <c r="BY26" s="74"/>
      <c r="CA26" s="74"/>
      <c r="CB26" s="21"/>
      <c r="CC26" s="21"/>
      <c r="CD26" s="21"/>
      <c r="CE26" s="35"/>
      <c r="CF26" s="21"/>
      <c r="CG26" s="35"/>
      <c r="CH26" s="21"/>
      <c r="CI26" s="35"/>
      <c r="CJ26" s="35"/>
      <c r="CK26" s="73"/>
      <c r="CL26" s="48"/>
      <c r="CM26" s="48"/>
      <c r="CN26" s="48"/>
      <c r="CO26" s="49"/>
      <c r="CP26" s="48"/>
      <c r="CQ26" s="48"/>
      <c r="CR26" s="4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46"/>
      <c r="ED26" s="50"/>
    </row>
    <row r="27" spans="1:152" ht="23.1" customHeight="1" x14ac:dyDescent="0.25">
      <c r="A27" s="2" t="s">
        <v>40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74"/>
      <c r="BX27" s="102"/>
      <c r="BY27" s="74"/>
      <c r="BZ27" s="102"/>
      <c r="CA27" s="74"/>
      <c r="CB27" s="21"/>
      <c r="CC27" s="21"/>
      <c r="CD27" s="21"/>
      <c r="CE27" s="35"/>
      <c r="CF27" s="21"/>
      <c r="CG27" s="35"/>
      <c r="CH27" s="21"/>
      <c r="CI27" s="35"/>
      <c r="CJ27" s="35"/>
      <c r="CK27" s="73"/>
      <c r="CL27" s="48"/>
      <c r="CM27" s="71"/>
      <c r="CN27" s="48"/>
      <c r="CO27" s="49"/>
      <c r="CP27" s="48"/>
      <c r="CQ27" s="71"/>
      <c r="CR27" s="48"/>
      <c r="CS27" s="84"/>
      <c r="CT27" s="84"/>
      <c r="CU27" s="68"/>
      <c r="CV27" s="84"/>
      <c r="CW27" s="68"/>
      <c r="CX27" s="84"/>
      <c r="CY27" s="68"/>
      <c r="CZ27" s="84"/>
      <c r="DA27" s="68"/>
      <c r="DB27" s="84"/>
      <c r="DC27" s="68"/>
      <c r="DD27" s="84"/>
      <c r="DE27" s="68"/>
      <c r="DF27" s="84"/>
      <c r="DG27" s="68"/>
      <c r="DH27" s="84"/>
      <c r="DI27" s="68"/>
      <c r="DJ27" s="84"/>
      <c r="DK27" s="68"/>
      <c r="DL27" s="84"/>
      <c r="DM27" s="68"/>
      <c r="DN27" s="84"/>
      <c r="DO27" s="68"/>
      <c r="DP27" s="84"/>
      <c r="DQ27" s="68"/>
      <c r="DR27" s="84"/>
      <c r="DS27" s="68"/>
      <c r="DT27" s="84"/>
      <c r="DU27" s="68"/>
      <c r="DV27" s="84"/>
      <c r="DW27" s="68"/>
      <c r="DX27" s="84"/>
      <c r="DY27" s="68"/>
      <c r="DZ27" s="84"/>
      <c r="EA27" s="68"/>
      <c r="EB27" s="84"/>
      <c r="EC27" s="46"/>
      <c r="ED27" s="50"/>
    </row>
    <row r="28" spans="1:152" ht="23.1" customHeight="1" x14ac:dyDescent="0.25"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134"/>
      <c r="AG28" s="33"/>
      <c r="AH28" s="33"/>
      <c r="AI28" s="33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74"/>
      <c r="BX28" s="102"/>
      <c r="BY28" s="74"/>
      <c r="BZ28" s="102"/>
      <c r="CA28" s="74"/>
      <c r="CB28" s="21"/>
      <c r="CC28" s="21"/>
      <c r="CD28" s="21"/>
      <c r="CE28" s="35"/>
      <c r="CF28" s="21"/>
      <c r="CG28" s="35"/>
      <c r="CH28" s="21"/>
      <c r="CI28" s="35"/>
      <c r="CJ28" s="35"/>
      <c r="CK28" s="73"/>
      <c r="CL28" s="48"/>
      <c r="CM28" s="71"/>
      <c r="CN28" s="48"/>
      <c r="CO28" s="49"/>
      <c r="CP28" s="48"/>
      <c r="CQ28" s="71"/>
      <c r="CR28" s="48"/>
      <c r="CS28" s="84"/>
      <c r="CT28" s="84"/>
      <c r="CU28" s="68"/>
      <c r="CV28" s="84"/>
      <c r="CW28" s="68"/>
      <c r="CX28" s="84"/>
      <c r="CY28" s="68"/>
      <c r="CZ28" s="84"/>
      <c r="DA28" s="68"/>
      <c r="DB28" s="84"/>
      <c r="DC28" s="68"/>
      <c r="DD28" s="84"/>
      <c r="DE28" s="68"/>
      <c r="DF28" s="84"/>
      <c r="DG28" s="68"/>
      <c r="DH28" s="84"/>
      <c r="DI28" s="68"/>
      <c r="DJ28" s="84"/>
      <c r="DK28" s="68"/>
      <c r="DL28" s="84"/>
      <c r="DM28" s="68"/>
      <c r="DN28" s="84"/>
      <c r="DO28" s="68"/>
      <c r="DP28" s="84"/>
      <c r="DQ28" s="68"/>
      <c r="DR28" s="84"/>
      <c r="DS28" s="68"/>
      <c r="DT28" s="84"/>
      <c r="DU28" s="68"/>
      <c r="DV28" s="84"/>
      <c r="DW28" s="68"/>
      <c r="DX28" s="84"/>
      <c r="DY28" s="68"/>
      <c r="DZ28" s="84"/>
      <c r="EA28" s="68"/>
      <c r="EB28" s="84"/>
      <c r="EC28" s="46"/>
      <c r="ED28" s="50"/>
    </row>
    <row r="29" spans="1:152" ht="23.1" customHeight="1" x14ac:dyDescent="0.25">
      <c r="B29" s="2" t="s">
        <v>64</v>
      </c>
      <c r="G29" s="33">
        <f>SUM(G30:G31)</f>
        <v>821804.36999999988</v>
      </c>
      <c r="H29" s="33"/>
      <c r="I29" s="33">
        <f>SUM(I30:I31)</f>
        <v>782504.06999999983</v>
      </c>
      <c r="J29" s="33"/>
      <c r="K29" s="33">
        <f>SUM(K30:K31)</f>
        <v>707459.3899999999</v>
      </c>
      <c r="L29" s="33"/>
      <c r="M29" s="33">
        <f>SUM(M30:M31)</f>
        <v>726925.94</v>
      </c>
      <c r="N29" s="33"/>
      <c r="O29" s="33">
        <f>SUM(O30:O31)</f>
        <v>412769.76</v>
      </c>
      <c r="P29" s="33"/>
      <c r="Q29" s="33">
        <f>SUM(Q30:Q31)</f>
        <v>171710.10000000003</v>
      </c>
      <c r="R29" s="33"/>
      <c r="S29" s="33"/>
      <c r="T29" s="33">
        <f>SUM(T30:T31)</f>
        <v>89937.050000000017</v>
      </c>
      <c r="U29" s="33"/>
      <c r="V29" s="33"/>
      <c r="W29" s="33">
        <f>SUM(W30:W31)</f>
        <v>210617.99000000002</v>
      </c>
      <c r="X29" s="33"/>
      <c r="Y29" s="33"/>
      <c r="Z29" s="33">
        <f>SUM(Z30:Z31)</f>
        <v>211447.39</v>
      </c>
      <c r="AA29" s="33"/>
      <c r="AB29" s="33">
        <f>SUM(AB30:AB31)</f>
        <v>187828.31</v>
      </c>
      <c r="AC29" s="33"/>
      <c r="AD29" s="33">
        <f>SUM(AD30:AD31)</f>
        <v>183492.31</v>
      </c>
      <c r="AE29" s="33"/>
      <c r="AF29" s="33"/>
      <c r="AG29" s="33">
        <f>SUM(AG30:AG31)</f>
        <v>133192.9</v>
      </c>
      <c r="AH29" s="33"/>
      <c r="AI29" s="33">
        <f>SUM(AI30:AI31)</f>
        <v>984055.11999999988</v>
      </c>
      <c r="AJ29" s="103">
        <v>11000</v>
      </c>
      <c r="AK29" s="102"/>
      <c r="AL29" s="103">
        <v>11000</v>
      </c>
      <c r="AM29" s="103">
        <v>11000</v>
      </c>
      <c r="AN29" s="103">
        <v>11000</v>
      </c>
      <c r="AO29" s="103">
        <v>11000</v>
      </c>
      <c r="AP29" s="103">
        <v>11000</v>
      </c>
      <c r="AQ29" s="103">
        <v>11000</v>
      </c>
      <c r="AR29" s="103">
        <v>11000</v>
      </c>
      <c r="AS29" s="103">
        <v>11000</v>
      </c>
      <c r="AT29" s="122">
        <v>11000</v>
      </c>
      <c r="AU29" s="103">
        <f t="shared" ref="AU29:BA29" si="2">SUM(AU30:AU30)</f>
        <v>0</v>
      </c>
      <c r="AV29" s="103">
        <f t="shared" si="2"/>
        <v>0</v>
      </c>
      <c r="AW29" s="103">
        <f t="shared" si="2"/>
        <v>0</v>
      </c>
      <c r="AX29" s="103">
        <f t="shared" si="2"/>
        <v>0</v>
      </c>
      <c r="AY29" s="103">
        <f t="shared" si="2"/>
        <v>0</v>
      </c>
      <c r="AZ29" s="103">
        <f t="shared" si="2"/>
        <v>0</v>
      </c>
      <c r="BA29" s="103">
        <f t="shared" si="2"/>
        <v>0</v>
      </c>
      <c r="BB29" s="102"/>
      <c r="BC29" s="103">
        <f>SUM(BC30:BC30)</f>
        <v>0</v>
      </c>
      <c r="BD29" s="103"/>
      <c r="BE29" s="103">
        <f>SUM(BE30:BE30)</f>
        <v>0</v>
      </c>
      <c r="BF29" s="102"/>
      <c r="BG29" s="103">
        <f>SUM(BG30:BG30)</f>
        <v>0</v>
      </c>
      <c r="BH29" s="102"/>
      <c r="BI29" s="103">
        <f>SUM(BI30:BI30)</f>
        <v>0</v>
      </c>
      <c r="BJ29" s="102"/>
      <c r="BK29" s="103">
        <f>SUM(BK30:BK30)</f>
        <v>0</v>
      </c>
      <c r="BL29" s="102"/>
      <c r="BM29" s="103">
        <f>SUM(BM30:BM30)</f>
        <v>0</v>
      </c>
      <c r="BN29" s="102"/>
      <c r="BO29" s="103">
        <f>SUM(BO30:BO30)</f>
        <v>0</v>
      </c>
      <c r="BP29" s="102"/>
      <c r="BQ29" s="103">
        <f>SUM(BQ30:BQ30)</f>
        <v>0</v>
      </c>
      <c r="BR29" s="102"/>
      <c r="BS29" s="103">
        <f>SUM(BS30:BS30)</f>
        <v>0</v>
      </c>
      <c r="BT29" s="102"/>
      <c r="BU29" s="103">
        <f>SUM(BU30:BU30)</f>
        <v>0</v>
      </c>
      <c r="BV29" s="102"/>
      <c r="BW29" s="103">
        <f>SUM(BW30:BW30)</f>
        <v>0</v>
      </c>
      <c r="BX29" s="102"/>
      <c r="BY29" s="103">
        <f>SUM(BY30:BY30)</f>
        <v>0</v>
      </c>
      <c r="BZ29" s="102"/>
      <c r="CA29" s="103">
        <f>SUM(CA30:CA30)</f>
        <v>0</v>
      </c>
      <c r="CC29" s="104">
        <f>SUM(CC30:CC30)</f>
        <v>0</v>
      </c>
      <c r="CE29" s="35">
        <f>SUM(CE30:CE30)</f>
        <v>0</v>
      </c>
      <c r="CG29" s="35">
        <f>SUM(CG30:CG30)</f>
        <v>0</v>
      </c>
      <c r="CI29" s="35">
        <f>SUM(CI30:CI30)</f>
        <v>0</v>
      </c>
      <c r="CJ29" s="20"/>
      <c r="CK29" s="73">
        <f>SUM(CK30:CK30)</f>
        <v>0</v>
      </c>
      <c r="CL29" s="105"/>
      <c r="CM29" s="73">
        <f>SUM(CM30:CM30)</f>
        <v>0</v>
      </c>
      <c r="CN29" s="50"/>
      <c r="CO29" s="84">
        <f>SUM(CO30:CO30)</f>
        <v>0</v>
      </c>
      <c r="CP29" s="50"/>
      <c r="CQ29" s="84">
        <f>SUM(CQ30:CQ30)</f>
        <v>0</v>
      </c>
      <c r="CR29" s="105"/>
      <c r="CS29" s="84">
        <f>SUM(CS30:CS30)</f>
        <v>0</v>
      </c>
      <c r="CT29" s="84"/>
      <c r="CU29" s="104">
        <f>SUM(CU30:CU30)</f>
        <v>0</v>
      </c>
      <c r="CV29" s="84"/>
      <c r="CW29" s="104">
        <f>SUM(CW30:CW30)</f>
        <v>0</v>
      </c>
      <c r="CX29" s="84"/>
      <c r="CY29" s="104">
        <f>SUM(CY30:CY30)</f>
        <v>0</v>
      </c>
      <c r="CZ29" s="84"/>
      <c r="DA29" s="104">
        <f>SUM(DA30:DA30)</f>
        <v>0</v>
      </c>
      <c r="DB29" s="84"/>
      <c r="DC29" s="104">
        <f>SUM(DC30:DC30)</f>
        <v>0</v>
      </c>
      <c r="DD29" s="84"/>
      <c r="DE29" s="104">
        <f>SUM(DE30:DE30)</f>
        <v>0</v>
      </c>
      <c r="DF29" s="84"/>
      <c r="DG29" s="104">
        <f>SUM(DG30:DG30)</f>
        <v>0</v>
      </c>
      <c r="DH29" s="84"/>
      <c r="DI29" s="104">
        <f>SUM(DI30:DI30)</f>
        <v>0</v>
      </c>
      <c r="DJ29" s="84"/>
      <c r="DK29" s="104">
        <f>SUM(DK30:DK30)</f>
        <v>0</v>
      </c>
      <c r="DL29" s="84"/>
      <c r="DM29" s="104">
        <f>SUM(DM30:DM30)</f>
        <v>0</v>
      </c>
      <c r="DN29" s="84"/>
      <c r="DO29" s="104">
        <f>SUM(DO30:DO30)</f>
        <v>0</v>
      </c>
      <c r="DP29" s="84"/>
      <c r="DQ29" s="104">
        <f>SUM(DQ30:DQ30)</f>
        <v>0</v>
      </c>
      <c r="DR29" s="84"/>
      <c r="DS29" s="104">
        <f>SUM(DS30:DS30)</f>
        <v>0</v>
      </c>
      <c r="DT29" s="84"/>
      <c r="DU29" s="104">
        <f>SUM(DU30:DU30)</f>
        <v>0</v>
      </c>
      <c r="DV29" s="84"/>
      <c r="DW29" s="104">
        <f>SUM(DW30:DW30)</f>
        <v>0</v>
      </c>
      <c r="DX29" s="84"/>
      <c r="DY29" s="104">
        <f>SUM(DY30:DY30)</f>
        <v>0</v>
      </c>
      <c r="DZ29" s="84"/>
      <c r="EA29" s="104">
        <f>SUM(EA30:EA30)</f>
        <v>0</v>
      </c>
      <c r="EB29" s="84"/>
      <c r="EC29" s="46"/>
      <c r="ED29" s="50"/>
    </row>
    <row r="30" spans="1:152" ht="23.1" customHeight="1" x14ac:dyDescent="0.25">
      <c r="C30" s="20" t="s">
        <v>58</v>
      </c>
      <c r="G30" s="37">
        <f>'Income Statement'!L57</f>
        <v>821804.36999999988</v>
      </c>
      <c r="H30" s="33"/>
      <c r="I30" s="37">
        <f>'Income Statement'!O57</f>
        <v>782504.06999999983</v>
      </c>
      <c r="J30" s="33"/>
      <c r="K30" s="37">
        <f>'Income Statement'!R57</f>
        <v>707459.3899999999</v>
      </c>
      <c r="L30" s="33"/>
      <c r="M30" s="37">
        <f>'Income Statement'!U57</f>
        <v>726925.94</v>
      </c>
      <c r="N30" s="33"/>
      <c r="O30" s="37">
        <f>'Income Statement'!X57</f>
        <v>412769.76</v>
      </c>
      <c r="P30" s="33"/>
      <c r="Q30" s="37">
        <f>'Income Statement'!AA57</f>
        <v>171710.10000000003</v>
      </c>
      <c r="R30" s="33"/>
      <c r="S30" s="33"/>
      <c r="T30" s="37">
        <f>'Income Statement'!AD57</f>
        <v>89937.050000000017</v>
      </c>
      <c r="U30" s="33"/>
      <c r="V30" s="33"/>
      <c r="W30" s="37">
        <f>'Income Statement'!AG57</f>
        <v>210617.99000000002</v>
      </c>
      <c r="X30" s="33"/>
      <c r="Y30" s="33"/>
      <c r="Z30" s="37">
        <f>'Income Statement'!AJ57</f>
        <v>211447.39</v>
      </c>
      <c r="AA30" s="33"/>
      <c r="AB30" s="37">
        <f>'Income Statement'!AM57</f>
        <v>187828.31</v>
      </c>
      <c r="AC30" s="33"/>
      <c r="AD30" s="37">
        <f>'Income Statement'!AP57</f>
        <v>183492.31</v>
      </c>
      <c r="AE30" s="33"/>
      <c r="AF30" s="33"/>
      <c r="AG30" s="37">
        <f>'Income Statement'!AT57</f>
        <v>133192.9</v>
      </c>
      <c r="AH30" s="33"/>
      <c r="AI30" s="37">
        <f>'Income Statement'!AV57</f>
        <v>984055.11999999988</v>
      </c>
      <c r="AJ30" s="132"/>
      <c r="AL30" s="123"/>
      <c r="AM30" s="123"/>
      <c r="AN30" s="123"/>
      <c r="AO30" s="123"/>
      <c r="AP30" s="123"/>
      <c r="AQ30" s="123"/>
      <c r="AR30" s="123"/>
      <c r="AS30" s="123"/>
      <c r="AT30" s="123"/>
      <c r="AU30" s="81"/>
      <c r="AV30" s="81"/>
      <c r="AW30" s="81"/>
      <c r="AX30" s="81"/>
      <c r="AY30" s="81"/>
      <c r="AZ30" s="81"/>
      <c r="BA30" s="81"/>
      <c r="BC30" s="81"/>
      <c r="BD30" s="81"/>
      <c r="BE30" s="81"/>
      <c r="BG30" s="81"/>
      <c r="BI30" s="81"/>
      <c r="BK30" s="81"/>
      <c r="BM30" s="81"/>
      <c r="BO30" s="81"/>
      <c r="BQ30" s="81"/>
      <c r="BS30" s="81"/>
      <c r="BU30" s="81"/>
      <c r="BW30" s="81"/>
      <c r="BY30" s="81"/>
      <c r="CA30" s="81"/>
      <c r="CB30" s="21"/>
      <c r="CC30" s="82"/>
      <c r="CD30" s="21"/>
      <c r="CE30" s="40"/>
      <c r="CF30" s="21"/>
      <c r="CG30" s="40"/>
      <c r="CH30" s="21"/>
      <c r="CI30" s="40"/>
      <c r="CJ30" s="35"/>
      <c r="CK30" s="79"/>
      <c r="CL30" s="48"/>
      <c r="CM30" s="79"/>
      <c r="CN30" s="73"/>
      <c r="CO30" s="79"/>
      <c r="CP30" s="73"/>
      <c r="CQ30" s="79"/>
      <c r="CR30" s="48"/>
      <c r="CS30" s="83"/>
      <c r="CT30" s="84"/>
      <c r="CU30" s="82"/>
      <c r="CV30" s="84"/>
      <c r="CW30" s="82"/>
      <c r="CX30" s="84"/>
      <c r="CY30" s="82"/>
      <c r="CZ30" s="84"/>
      <c r="DA30" s="82"/>
      <c r="DB30" s="84"/>
      <c r="DC30" s="82"/>
      <c r="DD30" s="84"/>
      <c r="DE30" s="82"/>
      <c r="DF30" s="84"/>
      <c r="DG30" s="82"/>
      <c r="DH30" s="84"/>
      <c r="DI30" s="82"/>
      <c r="DJ30" s="84"/>
      <c r="DK30" s="82"/>
      <c r="DL30" s="84"/>
      <c r="DM30" s="82"/>
      <c r="DN30" s="84"/>
      <c r="DO30" s="82"/>
      <c r="DP30" s="84"/>
      <c r="DQ30" s="82"/>
      <c r="DR30" s="84"/>
      <c r="DS30" s="82"/>
      <c r="DT30" s="84"/>
      <c r="DU30" s="82"/>
      <c r="DV30" s="84"/>
      <c r="DW30" s="82"/>
      <c r="DX30" s="84"/>
      <c r="DY30" s="82"/>
      <c r="DZ30" s="84"/>
      <c r="EA30" s="82"/>
      <c r="EB30" s="84"/>
      <c r="EC30" s="46"/>
      <c r="ED30" s="50"/>
    </row>
    <row r="31" spans="1:152" ht="8.1" customHeight="1" x14ac:dyDescent="0.25">
      <c r="G31" s="47"/>
      <c r="H31" s="44"/>
      <c r="I31" s="47"/>
      <c r="J31" s="44"/>
      <c r="K31" s="47"/>
      <c r="L31" s="33"/>
      <c r="M31" s="47"/>
      <c r="N31" s="33"/>
      <c r="O31" s="47"/>
      <c r="P31" s="33"/>
      <c r="Q31" s="47"/>
      <c r="R31" s="33"/>
      <c r="S31" s="33"/>
      <c r="T31" s="47"/>
      <c r="U31" s="33"/>
      <c r="V31" s="33"/>
      <c r="W31" s="47"/>
      <c r="X31" s="33"/>
      <c r="Y31" s="33"/>
      <c r="Z31" s="47"/>
      <c r="AA31" s="33"/>
      <c r="AB31" s="47"/>
      <c r="AC31" s="33"/>
      <c r="AD31" s="47"/>
      <c r="AE31" s="33"/>
      <c r="AF31" s="44"/>
      <c r="AG31" s="47"/>
      <c r="AH31" s="44"/>
      <c r="AI31" s="47"/>
      <c r="AJ31" s="133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C31" s="85"/>
      <c r="BD31" s="85"/>
      <c r="BE31" s="85"/>
      <c r="BG31" s="85"/>
      <c r="BI31" s="85"/>
      <c r="BK31" s="85"/>
      <c r="BM31" s="85"/>
      <c r="BO31" s="85"/>
      <c r="BQ31" s="85"/>
      <c r="BS31" s="85"/>
      <c r="BU31" s="86"/>
      <c r="BW31" s="86"/>
      <c r="BY31" s="86"/>
      <c r="CA31" s="86"/>
      <c r="CB31" s="21"/>
      <c r="CC31" s="87"/>
      <c r="CD31" s="21"/>
      <c r="CE31" s="42"/>
      <c r="CF31" s="21"/>
      <c r="CG31" s="42"/>
      <c r="CH31" s="21"/>
      <c r="CI31" s="42"/>
      <c r="CJ31" s="35"/>
      <c r="CK31" s="88"/>
      <c r="CL31" s="48"/>
      <c r="CM31" s="88"/>
      <c r="CN31" s="73"/>
      <c r="CO31" s="88"/>
      <c r="CP31" s="73"/>
      <c r="CQ31" s="88"/>
      <c r="CR31" s="48"/>
      <c r="CS31" s="106"/>
      <c r="CT31" s="68"/>
      <c r="CU31" s="87"/>
      <c r="CV31" s="68"/>
      <c r="CW31" s="87"/>
      <c r="CX31" s="68"/>
      <c r="CY31" s="87"/>
      <c r="CZ31" s="68"/>
      <c r="DA31" s="87"/>
      <c r="DB31" s="68"/>
      <c r="DC31" s="87"/>
      <c r="DD31" s="68"/>
      <c r="DE31" s="87"/>
      <c r="DF31" s="68"/>
      <c r="DG31" s="87"/>
      <c r="DH31" s="68"/>
      <c r="DI31" s="87"/>
      <c r="DJ31" s="68"/>
      <c r="DK31" s="87"/>
      <c r="DL31" s="68"/>
      <c r="DM31" s="87"/>
      <c r="DN31" s="68"/>
      <c r="DO31" s="87"/>
      <c r="DP31" s="68"/>
      <c r="DQ31" s="87"/>
      <c r="DR31" s="68"/>
      <c r="DS31" s="87"/>
      <c r="DT31" s="68"/>
      <c r="DU31" s="87"/>
      <c r="DV31" s="68"/>
      <c r="DW31" s="87"/>
      <c r="DX31" s="68"/>
      <c r="DY31" s="87"/>
      <c r="DZ31" s="68"/>
      <c r="EA31" s="87"/>
      <c r="EB31" s="68"/>
      <c r="EC31" s="46"/>
      <c r="ED31" s="50"/>
    </row>
    <row r="32" spans="1:152" ht="19.5" customHeight="1" x14ac:dyDescent="0.25">
      <c r="G32" s="33"/>
      <c r="H32" s="33"/>
      <c r="I32" s="33"/>
      <c r="J32" s="33"/>
      <c r="K32" s="33"/>
      <c r="L32" s="45"/>
      <c r="M32" s="33"/>
      <c r="N32" s="45"/>
      <c r="O32" s="33"/>
      <c r="P32" s="45"/>
      <c r="Q32" s="33"/>
      <c r="R32" s="45"/>
      <c r="S32" s="45"/>
      <c r="T32" s="33"/>
      <c r="U32" s="45"/>
      <c r="V32" s="45"/>
      <c r="W32" s="33"/>
      <c r="X32" s="45"/>
      <c r="Y32" s="45"/>
      <c r="Z32" s="33"/>
      <c r="AA32" s="45"/>
      <c r="AB32" s="33"/>
      <c r="AC32" s="45"/>
      <c r="AD32" s="33"/>
      <c r="AE32" s="33"/>
      <c r="AF32" s="33"/>
      <c r="AG32" s="33"/>
      <c r="AH32" s="33"/>
      <c r="AI32" s="33"/>
      <c r="BW32" s="74"/>
      <c r="BY32" s="74"/>
      <c r="CA32" s="74"/>
      <c r="CB32" s="21"/>
      <c r="CC32" s="21"/>
      <c r="CD32" s="21"/>
      <c r="CE32" s="35"/>
      <c r="CF32" s="21"/>
      <c r="CG32" s="35"/>
      <c r="CH32" s="21"/>
      <c r="CI32" s="35"/>
      <c r="CJ32" s="35"/>
      <c r="CK32" s="73"/>
      <c r="CL32" s="48"/>
      <c r="CM32" s="73"/>
      <c r="CN32" s="73"/>
      <c r="CO32" s="73"/>
      <c r="CP32" s="73"/>
      <c r="CQ32" s="73"/>
      <c r="CR32" s="4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46"/>
      <c r="ED32" s="50"/>
    </row>
    <row r="33" spans="1:152" ht="23.1" customHeight="1" x14ac:dyDescent="0.25">
      <c r="B33" s="2" t="s">
        <v>41</v>
      </c>
      <c r="G33" s="35">
        <v>0</v>
      </c>
      <c r="H33" s="35"/>
      <c r="I33" s="35">
        <v>0</v>
      </c>
      <c r="J33" s="35"/>
      <c r="K33" s="35">
        <v>0</v>
      </c>
      <c r="L33" s="21"/>
      <c r="M33" s="35">
        <v>0</v>
      </c>
      <c r="N33" s="21"/>
      <c r="O33" s="35">
        <v>0</v>
      </c>
      <c r="P33" s="21"/>
      <c r="Q33" s="35">
        <v>0</v>
      </c>
      <c r="R33" s="21"/>
      <c r="S33" s="21"/>
      <c r="T33" s="35">
        <v>0</v>
      </c>
      <c r="U33" s="21"/>
      <c r="V33" s="21"/>
      <c r="W33" s="35">
        <v>0</v>
      </c>
      <c r="X33" s="21"/>
      <c r="Y33" s="21"/>
      <c r="Z33" s="35">
        <v>0</v>
      </c>
      <c r="AA33" s="21"/>
      <c r="AB33" s="35">
        <v>0</v>
      </c>
      <c r="AC33" s="21"/>
      <c r="AD33" s="35">
        <v>0</v>
      </c>
      <c r="AE33" s="35"/>
      <c r="AF33" s="35"/>
      <c r="AG33" s="35">
        <v>0</v>
      </c>
      <c r="AH33" s="35"/>
      <c r="AI33" s="35">
        <v>0</v>
      </c>
      <c r="BW33" s="96"/>
      <c r="BY33" s="96"/>
      <c r="CA33" s="96"/>
      <c r="CB33" s="21"/>
      <c r="CC33" s="84"/>
      <c r="CD33" s="21"/>
      <c r="CE33" s="35"/>
      <c r="CF33" s="21"/>
      <c r="CG33" s="35"/>
      <c r="CH33" s="21"/>
      <c r="CI33" s="35"/>
      <c r="CJ33" s="35"/>
      <c r="CK33" s="73"/>
      <c r="CL33" s="48"/>
      <c r="CM33" s="80"/>
      <c r="CN33" s="80"/>
      <c r="CO33" s="80"/>
      <c r="CP33" s="80"/>
      <c r="CQ33" s="80"/>
      <c r="CR33" s="48"/>
      <c r="CS33" s="80"/>
      <c r="CT33" s="80"/>
      <c r="CU33" s="84"/>
      <c r="CV33" s="80"/>
      <c r="CW33" s="84"/>
      <c r="CX33" s="80"/>
      <c r="CY33" s="84"/>
      <c r="CZ33" s="80"/>
      <c r="DA33" s="84"/>
      <c r="DB33" s="80"/>
      <c r="DC33" s="84"/>
      <c r="DD33" s="80"/>
      <c r="DE33" s="84"/>
      <c r="DF33" s="80"/>
      <c r="DG33" s="84"/>
      <c r="DH33" s="80"/>
      <c r="DI33" s="84"/>
      <c r="DJ33" s="80"/>
      <c r="DK33" s="84"/>
      <c r="DL33" s="80"/>
      <c r="DM33" s="84"/>
      <c r="DN33" s="80"/>
      <c r="DO33" s="84"/>
      <c r="DP33" s="80"/>
      <c r="DQ33" s="84"/>
      <c r="DR33" s="80"/>
      <c r="DS33" s="84"/>
      <c r="DT33" s="80"/>
      <c r="DU33" s="84"/>
      <c r="DV33" s="80"/>
      <c r="DW33" s="84"/>
      <c r="DX33" s="80"/>
      <c r="DY33" s="84"/>
      <c r="DZ33" s="80"/>
      <c r="EA33" s="84"/>
      <c r="EB33" s="80"/>
      <c r="EC33" s="46"/>
      <c r="ED33" s="50"/>
    </row>
    <row r="34" spans="1:152" ht="23.1" customHeight="1" x14ac:dyDescent="0.25">
      <c r="BW34" s="74"/>
      <c r="BY34" s="74"/>
      <c r="CA34" s="74"/>
      <c r="CB34" s="21"/>
      <c r="CC34" s="21"/>
      <c r="CD34" s="21"/>
      <c r="CE34" s="35"/>
      <c r="CF34" s="21"/>
      <c r="CG34" s="35"/>
      <c r="CH34" s="21"/>
      <c r="CI34" s="35"/>
      <c r="CJ34" s="35"/>
      <c r="CK34" s="73"/>
      <c r="CL34" s="48"/>
      <c r="CM34" s="80"/>
      <c r="CN34" s="68"/>
      <c r="CO34" s="80"/>
      <c r="CP34" s="68"/>
      <c r="CQ34" s="80"/>
      <c r="CR34" s="48"/>
      <c r="CS34" s="80"/>
      <c r="CT34" s="80"/>
      <c r="CU34" s="68"/>
      <c r="CV34" s="80"/>
      <c r="CW34" s="68"/>
      <c r="CX34" s="80"/>
      <c r="CY34" s="68"/>
      <c r="CZ34" s="80"/>
      <c r="DA34" s="68"/>
      <c r="DB34" s="80"/>
      <c r="DC34" s="68"/>
      <c r="DD34" s="80"/>
      <c r="DE34" s="68"/>
      <c r="DF34" s="80"/>
      <c r="DG34" s="68"/>
      <c r="DH34" s="80"/>
      <c r="DI34" s="68"/>
      <c r="DJ34" s="80"/>
      <c r="DK34" s="68"/>
      <c r="DL34" s="80"/>
      <c r="DM34" s="68"/>
      <c r="DN34" s="80"/>
      <c r="DO34" s="68"/>
      <c r="DP34" s="80"/>
      <c r="DQ34" s="68"/>
      <c r="DR34" s="80"/>
      <c r="DS34" s="68"/>
      <c r="DT34" s="80"/>
      <c r="DU34" s="68"/>
      <c r="DV34" s="80"/>
      <c r="DW34" s="68"/>
      <c r="DX34" s="80"/>
      <c r="DY34" s="68"/>
      <c r="DZ34" s="80"/>
      <c r="EA34" s="68"/>
      <c r="EB34" s="80"/>
      <c r="EC34" s="46"/>
      <c r="ED34" s="50"/>
    </row>
    <row r="35" spans="1:152" ht="23.1" customHeight="1" x14ac:dyDescent="0.25">
      <c r="B35" s="2" t="s">
        <v>42</v>
      </c>
      <c r="G35" s="20">
        <f>SUM(G36:G38)</f>
        <v>0</v>
      </c>
      <c r="H35" s="20"/>
      <c r="I35" s="20">
        <f>SUM(I36:I38)</f>
        <v>0</v>
      </c>
      <c r="J35" s="20"/>
      <c r="K35" s="20">
        <f>SUM(K36:K38)</f>
        <v>30000</v>
      </c>
      <c r="M35" s="20">
        <f>SUM(M36:M38)</f>
        <v>23064.2</v>
      </c>
      <c r="O35" s="20">
        <f>SUM(O36:O38)</f>
        <v>0</v>
      </c>
      <c r="Q35" s="20">
        <f>SUM(Q36:Q38)</f>
        <v>0</v>
      </c>
      <c r="T35" s="20">
        <f>SUM(T36:T38)</f>
        <v>0</v>
      </c>
      <c r="W35" s="20">
        <f>SUM(W36:W38)</f>
        <v>0</v>
      </c>
      <c r="Z35" s="20">
        <f>SUM(Z36:Z38)</f>
        <v>0</v>
      </c>
      <c r="AB35" s="20">
        <f>SUM(AB36:AB38)</f>
        <v>0</v>
      </c>
      <c r="AD35" s="20">
        <f>SUM(AD36:AD38)</f>
        <v>100000</v>
      </c>
      <c r="AE35" s="20"/>
      <c r="AF35" s="20"/>
      <c r="AG35" s="20">
        <f>SUM(AG36:AG38)</f>
        <v>210900</v>
      </c>
      <c r="AH35" s="20"/>
      <c r="AI35" s="20">
        <f>SUM(AI36:AI38)</f>
        <v>2500</v>
      </c>
      <c r="AJ35" s="137">
        <v>1414036.74</v>
      </c>
      <c r="AL35" s="137">
        <v>1344275.19</v>
      </c>
      <c r="AM35" s="137">
        <v>1301769.72</v>
      </c>
      <c r="AN35" s="137">
        <v>1264930.58</v>
      </c>
      <c r="AO35" s="137">
        <v>1216704.53</v>
      </c>
      <c r="AP35" s="137">
        <v>1155154.03</v>
      </c>
      <c r="AQ35" s="137">
        <v>1109912.3999999999</v>
      </c>
      <c r="AR35" s="137">
        <v>1068413.1399999999</v>
      </c>
      <c r="AS35" s="137">
        <v>1019940.18</v>
      </c>
      <c r="AT35" s="138">
        <v>980755.95</v>
      </c>
      <c r="AU35" s="137">
        <f>SUM(AU36:AU42)</f>
        <v>993564.73</v>
      </c>
      <c r="AV35" s="137">
        <f t="shared" ref="AV35:BA35" si="3">SUM(AV36:AV42)</f>
        <v>550227.64</v>
      </c>
      <c r="AW35" s="137">
        <f t="shared" si="3"/>
        <v>719979.65</v>
      </c>
      <c r="AX35" s="137">
        <f t="shared" si="3"/>
        <v>692598.8</v>
      </c>
      <c r="AY35" s="137">
        <f t="shared" si="3"/>
        <v>628791.18999999994</v>
      </c>
      <c r="AZ35" s="137">
        <f t="shared" si="3"/>
        <v>618623.9</v>
      </c>
      <c r="BA35" s="137">
        <f t="shared" si="3"/>
        <v>656360.05000000005</v>
      </c>
      <c r="BC35" s="137">
        <f>SUM(BC36:BC42)</f>
        <v>642879.5</v>
      </c>
      <c r="BD35" s="137"/>
      <c r="BE35" s="137">
        <f>SUM(BE36:BE42)</f>
        <v>634059.88</v>
      </c>
      <c r="BG35" s="137">
        <f>SUM(BG36:BG42)</f>
        <v>623042.49</v>
      </c>
      <c r="BI35" s="137">
        <f>SUM(BI36:BI42)</f>
        <v>557991.22</v>
      </c>
      <c r="BK35" s="137">
        <f>SUM(BK36:BK42)</f>
        <v>548021.0199999999</v>
      </c>
      <c r="BM35" s="137">
        <f>SUM(BM36:BM42)</f>
        <v>537744.41999999993</v>
      </c>
      <c r="BO35" s="137">
        <f>SUM(BO36:BO42)</f>
        <v>525726.53</v>
      </c>
      <c r="BQ35" s="137">
        <f>SUM(BQ36:BQ42)</f>
        <v>514915.14999999997</v>
      </c>
      <c r="BS35" s="137">
        <f>SUM(BS36:BS42)</f>
        <v>540659.63</v>
      </c>
      <c r="BU35" s="137">
        <f>SUM(BU36:BU42)</f>
        <v>527787.22</v>
      </c>
      <c r="BW35" s="137">
        <f>SUM(BW36:BW42)</f>
        <v>564093.61</v>
      </c>
      <c r="BY35" s="137">
        <f>SUM(BY36:BY42)</f>
        <v>553486.64</v>
      </c>
      <c r="CA35" s="137">
        <f>SUM(CA36:CA42)</f>
        <v>540162.14</v>
      </c>
      <c r="CB35" s="35"/>
      <c r="CC35" s="80">
        <f>SUM(CC36:CC42)</f>
        <v>529835.91999999993</v>
      </c>
      <c r="CD35" s="35"/>
      <c r="CE35" s="33">
        <f>SUM(CE36:CE42)</f>
        <v>0</v>
      </c>
      <c r="CF35" s="35"/>
      <c r="CG35" s="33">
        <f>SUM(CG36:CG42)</f>
        <v>0</v>
      </c>
      <c r="CH35" s="35"/>
      <c r="CI35" s="33">
        <f>SUM(CI36:CI42)</f>
        <v>0</v>
      </c>
      <c r="CJ35" s="35"/>
      <c r="CK35" s="80">
        <f>SUM(CK36:CK42)</f>
        <v>0</v>
      </c>
      <c r="CL35" s="73"/>
      <c r="CM35" s="80">
        <f>SUM(CM36:CM42)</f>
        <v>0</v>
      </c>
      <c r="CN35" s="80"/>
      <c r="CO35" s="80">
        <f>SUM(CO36:CO42)</f>
        <v>0</v>
      </c>
      <c r="CP35" s="80"/>
      <c r="CQ35" s="80">
        <f>SUM(CQ36:CQ42)</f>
        <v>0</v>
      </c>
      <c r="CR35" s="73"/>
      <c r="CS35" s="80">
        <f>SUM(CS36:CS42)</f>
        <v>0</v>
      </c>
      <c r="CT35" s="80"/>
      <c r="CU35" s="80">
        <f>SUM(CU36:CU42)</f>
        <v>520362.53</v>
      </c>
      <c r="CV35" s="80"/>
      <c r="CW35" s="80">
        <f>SUM(CW36:CW42)</f>
        <v>505597.4</v>
      </c>
      <c r="CX35" s="80"/>
      <c r="CY35" s="80">
        <f>SUM(CY36:CY42)</f>
        <v>535732.73</v>
      </c>
      <c r="CZ35" s="80"/>
      <c r="DA35" s="80">
        <f>SUM(DA36:DA42)</f>
        <v>478547.24</v>
      </c>
      <c r="DB35" s="80"/>
      <c r="DC35" s="80">
        <f>SUM(DC36:DC42)</f>
        <v>390457.64</v>
      </c>
      <c r="DD35" s="80"/>
      <c r="DE35" s="80">
        <f>SUM(DE36:DE42)</f>
        <v>381106.18</v>
      </c>
      <c r="DF35" s="80"/>
      <c r="DG35" s="80">
        <f>SUM(DG36:DG42)</f>
        <v>372933.5</v>
      </c>
      <c r="DH35" s="80"/>
      <c r="DI35" s="80">
        <f>SUM(DI36:DI42)</f>
        <v>362649.74</v>
      </c>
      <c r="DJ35" s="80"/>
      <c r="DK35" s="80">
        <f>SUM(DK36:DK42)</f>
        <v>371065.4</v>
      </c>
      <c r="DL35" s="80"/>
      <c r="DM35" s="80">
        <f>SUM(DM36:DM42)</f>
        <v>362579.81</v>
      </c>
      <c r="DN35" s="80"/>
      <c r="DO35" s="80">
        <f>SUM(DO36:DO42)</f>
        <v>351083.93</v>
      </c>
      <c r="DP35" s="80"/>
      <c r="DQ35" s="80">
        <f>SUM(DQ36:DQ42)</f>
        <v>366222.53</v>
      </c>
      <c r="DR35" s="80"/>
      <c r="DS35" s="80">
        <f>SUM(DS36:DS42)</f>
        <v>358250.83</v>
      </c>
      <c r="DT35" s="80"/>
      <c r="DU35" s="80">
        <f>SUM(DU36:DU42)</f>
        <v>349284.37</v>
      </c>
      <c r="DV35" s="80"/>
      <c r="DW35" s="80">
        <f>SUM(DW36:DW42)</f>
        <v>334441.31</v>
      </c>
      <c r="DX35" s="80"/>
      <c r="DY35" s="80">
        <f>SUM(DY36:DY42)</f>
        <v>348995.30000000005</v>
      </c>
      <c r="DZ35" s="80"/>
      <c r="EA35" s="80">
        <f>SUM(EA36:EA42)</f>
        <v>300157.7</v>
      </c>
      <c r="EB35" s="80"/>
      <c r="EC35" s="139"/>
      <c r="ED35" s="50"/>
    </row>
    <row r="36" spans="1:152" ht="23.1" customHeight="1" x14ac:dyDescent="0.25">
      <c r="C36" s="20" t="s">
        <v>43</v>
      </c>
      <c r="G36" s="75">
        <v>0</v>
      </c>
      <c r="H36" s="30"/>
      <c r="I36" s="75">
        <v>0</v>
      </c>
      <c r="J36" s="30"/>
      <c r="K36" s="75">
        <v>30000</v>
      </c>
      <c r="M36" s="75">
        <v>23064.2</v>
      </c>
      <c r="O36" s="75">
        <v>0</v>
      </c>
      <c r="Q36" s="75">
        <v>0</v>
      </c>
      <c r="T36" s="75">
        <v>0</v>
      </c>
      <c r="W36" s="75">
        <v>0</v>
      </c>
      <c r="Z36" s="75">
        <v>0</v>
      </c>
      <c r="AB36" s="75">
        <v>0</v>
      </c>
      <c r="AD36" s="75">
        <v>100000</v>
      </c>
      <c r="AE36" s="20"/>
      <c r="AF36" s="20"/>
      <c r="AG36" s="75">
        <v>210900</v>
      </c>
      <c r="AH36" s="20"/>
      <c r="AI36" s="75">
        <v>2500</v>
      </c>
      <c r="AJ36" s="76">
        <v>8992</v>
      </c>
      <c r="AL36" s="76">
        <v>8070</v>
      </c>
      <c r="AM36" s="76">
        <v>7148</v>
      </c>
      <c r="AN36" s="76">
        <v>6150</v>
      </c>
      <c r="AO36" s="76">
        <v>5228</v>
      </c>
      <c r="AP36" s="76">
        <v>4306</v>
      </c>
      <c r="AQ36" s="76">
        <v>13538.05</v>
      </c>
      <c r="AR36" s="76">
        <v>12692.05</v>
      </c>
      <c r="AS36" s="76">
        <v>11844</v>
      </c>
      <c r="AT36" s="76">
        <v>10998</v>
      </c>
      <c r="AU36" s="76">
        <v>10152</v>
      </c>
      <c r="AV36" s="76">
        <v>9306</v>
      </c>
      <c r="AW36" s="76">
        <v>8460</v>
      </c>
      <c r="AX36" s="76">
        <v>7614</v>
      </c>
      <c r="AY36" s="76">
        <v>7614</v>
      </c>
      <c r="AZ36" s="76">
        <v>5922</v>
      </c>
      <c r="BA36" s="76">
        <v>15594</v>
      </c>
      <c r="BC36" s="76">
        <v>14748</v>
      </c>
      <c r="BD36" s="76"/>
      <c r="BE36" s="76">
        <f>2100.45+13902</f>
        <v>16002.45</v>
      </c>
      <c r="BG36" s="76">
        <f>13056+2100.45</f>
        <v>15156.45</v>
      </c>
      <c r="BI36" s="76">
        <f>11364+2100.45</f>
        <v>13464.45</v>
      </c>
      <c r="BK36" s="76">
        <f>10518+2100.45</f>
        <v>12618.45</v>
      </c>
      <c r="BM36" s="76">
        <f>9672+2100.45</f>
        <v>11772.45</v>
      </c>
      <c r="BO36" s="76">
        <v>8866</v>
      </c>
      <c r="BQ36" s="76">
        <v>8060.3</v>
      </c>
      <c r="BS36" s="76">
        <v>16554</v>
      </c>
      <c r="BU36" s="76">
        <v>15748</v>
      </c>
      <c r="BW36" s="77">
        <v>14942</v>
      </c>
      <c r="BY36" s="77">
        <v>14136</v>
      </c>
      <c r="CA36" s="77">
        <v>13330</v>
      </c>
      <c r="CB36" s="35"/>
      <c r="CC36" s="78">
        <v>12524</v>
      </c>
      <c r="CD36" s="35"/>
      <c r="CE36" s="40">
        <v>0</v>
      </c>
      <c r="CF36" s="35"/>
      <c r="CG36" s="40">
        <v>0</v>
      </c>
      <c r="CH36" s="35"/>
      <c r="CI36" s="40">
        <v>0</v>
      </c>
      <c r="CJ36" s="35"/>
      <c r="CK36" s="79">
        <v>0</v>
      </c>
      <c r="CL36" s="73"/>
      <c r="CM36" s="79">
        <v>0</v>
      </c>
      <c r="CN36" s="80"/>
      <c r="CO36" s="79">
        <v>0</v>
      </c>
      <c r="CP36" s="80"/>
      <c r="CQ36" s="79">
        <v>0</v>
      </c>
      <c r="CR36" s="73"/>
      <c r="CS36" s="79">
        <v>0</v>
      </c>
      <c r="CT36" s="80"/>
      <c r="CU36" s="78">
        <v>11718</v>
      </c>
      <c r="CV36" s="80"/>
      <c r="CW36" s="78">
        <v>10912</v>
      </c>
      <c r="CX36" s="80"/>
      <c r="CY36" s="78">
        <v>10106</v>
      </c>
      <c r="CZ36" s="80"/>
      <c r="DA36" s="78">
        <v>9300</v>
      </c>
      <c r="DB36" s="80"/>
      <c r="DC36" s="78">
        <v>7975</v>
      </c>
      <c r="DD36" s="80"/>
      <c r="DE36" s="78">
        <v>7250</v>
      </c>
      <c r="DF36" s="80"/>
      <c r="DG36" s="78">
        <v>6525</v>
      </c>
      <c r="DH36" s="80"/>
      <c r="DI36" s="78">
        <v>5800</v>
      </c>
      <c r="DJ36" s="80"/>
      <c r="DK36" s="78">
        <v>5075</v>
      </c>
      <c r="DL36" s="80"/>
      <c r="DM36" s="78">
        <v>4350</v>
      </c>
      <c r="DN36" s="80"/>
      <c r="DO36" s="78">
        <f>2900</f>
        <v>2900</v>
      </c>
      <c r="DP36" s="80"/>
      <c r="DQ36" s="78">
        <f>2900</f>
        <v>2900</v>
      </c>
      <c r="DR36" s="80"/>
      <c r="DS36" s="78">
        <f>2140+2175</f>
        <v>4315</v>
      </c>
      <c r="DT36" s="80"/>
      <c r="DU36" s="78">
        <v>1450</v>
      </c>
      <c r="DV36" s="80"/>
      <c r="DW36" s="78">
        <v>8025</v>
      </c>
      <c r="DX36" s="80"/>
      <c r="DY36" s="78">
        <v>8025</v>
      </c>
      <c r="DZ36" s="80"/>
      <c r="EA36" s="78">
        <v>0</v>
      </c>
      <c r="EB36" s="80"/>
      <c r="EC36" s="139"/>
      <c r="ED36" s="50"/>
    </row>
    <row r="37" spans="1:152" ht="23.1" customHeight="1" x14ac:dyDescent="0.25">
      <c r="C37" s="20" t="s">
        <v>110</v>
      </c>
      <c r="G37" s="76">
        <v>0</v>
      </c>
      <c r="H37" s="30"/>
      <c r="I37" s="76">
        <v>0</v>
      </c>
      <c r="J37" s="30"/>
      <c r="K37" s="76">
        <v>0</v>
      </c>
      <c r="M37" s="76">
        <v>0</v>
      </c>
      <c r="O37" s="76"/>
      <c r="Q37" s="76"/>
      <c r="T37" s="76"/>
      <c r="W37" s="76"/>
      <c r="Z37" s="76"/>
      <c r="AB37" s="76"/>
      <c r="AD37" s="76"/>
      <c r="AE37" s="20"/>
      <c r="AF37" s="20"/>
      <c r="AG37" s="76"/>
      <c r="AH37" s="20"/>
      <c r="AI37" s="76"/>
      <c r="AJ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C37" s="76"/>
      <c r="BD37" s="76"/>
      <c r="BE37" s="76"/>
      <c r="BG37" s="76"/>
      <c r="BI37" s="76"/>
      <c r="BK37" s="76"/>
      <c r="BM37" s="76"/>
      <c r="BO37" s="76"/>
      <c r="BQ37" s="76"/>
      <c r="BS37" s="76"/>
      <c r="BU37" s="76"/>
      <c r="BW37" s="77"/>
      <c r="BY37" s="77"/>
      <c r="CA37" s="77"/>
      <c r="CB37" s="35"/>
      <c r="CC37" s="78"/>
      <c r="CD37" s="35"/>
      <c r="CE37" s="40"/>
      <c r="CF37" s="35"/>
      <c r="CG37" s="40"/>
      <c r="CH37" s="35"/>
      <c r="CI37" s="40"/>
      <c r="CJ37" s="35"/>
      <c r="CK37" s="79"/>
      <c r="CL37" s="73"/>
      <c r="CM37" s="79"/>
      <c r="CN37" s="80"/>
      <c r="CO37" s="79"/>
      <c r="CP37" s="80"/>
      <c r="CQ37" s="79"/>
      <c r="CR37" s="73"/>
      <c r="CS37" s="79"/>
      <c r="CT37" s="80"/>
      <c r="CU37" s="78"/>
      <c r="CV37" s="80"/>
      <c r="CW37" s="78"/>
      <c r="CX37" s="80"/>
      <c r="CY37" s="78"/>
      <c r="CZ37" s="80"/>
      <c r="DA37" s="78"/>
      <c r="DB37" s="80"/>
      <c r="DC37" s="78"/>
      <c r="DD37" s="80"/>
      <c r="DE37" s="78"/>
      <c r="DF37" s="80"/>
      <c r="DG37" s="78"/>
      <c r="DH37" s="80"/>
      <c r="DI37" s="78"/>
      <c r="DJ37" s="80"/>
      <c r="DK37" s="78"/>
      <c r="DL37" s="80"/>
      <c r="DM37" s="78"/>
      <c r="DN37" s="80"/>
      <c r="DO37" s="78"/>
      <c r="DP37" s="80"/>
      <c r="DQ37" s="78"/>
      <c r="DR37" s="80"/>
      <c r="DS37" s="78"/>
      <c r="DT37" s="80"/>
      <c r="DU37" s="78"/>
      <c r="DV37" s="80"/>
      <c r="DW37" s="78"/>
      <c r="DX37" s="80"/>
      <c r="DY37" s="78"/>
      <c r="DZ37" s="80"/>
      <c r="EA37" s="78"/>
      <c r="EB37" s="80"/>
      <c r="EC37" s="139"/>
      <c r="ED37" s="50"/>
    </row>
    <row r="38" spans="1:152" ht="9" customHeight="1" x14ac:dyDescent="0.25">
      <c r="G38" s="85"/>
      <c r="H38" s="30"/>
      <c r="I38" s="85"/>
      <c r="J38" s="30"/>
      <c r="K38" s="85"/>
      <c r="M38" s="85"/>
      <c r="O38" s="85"/>
      <c r="Q38" s="85"/>
      <c r="T38" s="85"/>
      <c r="W38" s="85"/>
      <c r="Z38" s="85"/>
      <c r="AB38" s="85"/>
      <c r="AD38" s="85"/>
      <c r="AE38" s="20"/>
      <c r="AF38" s="20"/>
      <c r="AG38" s="85"/>
      <c r="AH38" s="20"/>
      <c r="AI38" s="85"/>
      <c r="AJ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C38" s="76"/>
      <c r="BD38" s="76"/>
      <c r="BE38" s="76"/>
      <c r="BG38" s="76"/>
      <c r="BI38" s="76"/>
      <c r="BK38" s="76"/>
      <c r="BM38" s="76"/>
      <c r="BO38" s="76"/>
      <c r="BQ38" s="76"/>
      <c r="BS38" s="76"/>
      <c r="BU38" s="76"/>
      <c r="BW38" s="77"/>
      <c r="BY38" s="77"/>
      <c r="CA38" s="77"/>
      <c r="CB38" s="35"/>
      <c r="CC38" s="78"/>
      <c r="CD38" s="35"/>
      <c r="CE38" s="40"/>
      <c r="CF38" s="35"/>
      <c r="CG38" s="40"/>
      <c r="CH38" s="35"/>
      <c r="CI38" s="40"/>
      <c r="CJ38" s="35"/>
      <c r="CK38" s="79"/>
      <c r="CL38" s="73"/>
      <c r="CM38" s="79"/>
      <c r="CN38" s="80"/>
      <c r="CO38" s="79"/>
      <c r="CP38" s="80"/>
      <c r="CQ38" s="79"/>
      <c r="CR38" s="73"/>
      <c r="CS38" s="79"/>
      <c r="CT38" s="80"/>
      <c r="CU38" s="78"/>
      <c r="CV38" s="80"/>
      <c r="CW38" s="78"/>
      <c r="CX38" s="80"/>
      <c r="CY38" s="78"/>
      <c r="CZ38" s="80"/>
      <c r="DA38" s="78"/>
      <c r="DB38" s="80"/>
      <c r="DC38" s="78"/>
      <c r="DD38" s="80"/>
      <c r="DE38" s="78"/>
      <c r="DF38" s="80"/>
      <c r="DG38" s="78"/>
      <c r="DH38" s="80"/>
      <c r="DI38" s="78"/>
      <c r="DJ38" s="80"/>
      <c r="DK38" s="78"/>
      <c r="DL38" s="80"/>
      <c r="DM38" s="78"/>
      <c r="DN38" s="80"/>
      <c r="DO38" s="78"/>
      <c r="DP38" s="80"/>
      <c r="DQ38" s="78"/>
      <c r="DR38" s="80"/>
      <c r="DS38" s="78"/>
      <c r="DT38" s="80"/>
      <c r="DU38" s="78"/>
      <c r="DV38" s="80"/>
      <c r="DW38" s="78"/>
      <c r="DX38" s="80"/>
      <c r="DY38" s="78"/>
      <c r="DZ38" s="80"/>
      <c r="EA38" s="78"/>
      <c r="EB38" s="80"/>
      <c r="EC38" s="139"/>
      <c r="ED38" s="50"/>
    </row>
    <row r="39" spans="1:152" ht="23.1" customHeight="1" x14ac:dyDescent="0.25">
      <c r="G39" s="20"/>
      <c r="H39" s="20"/>
      <c r="I39" s="20"/>
      <c r="J39" s="20"/>
      <c r="K39" s="20"/>
      <c r="M39" s="20"/>
      <c r="O39" s="20"/>
      <c r="Q39" s="20"/>
      <c r="T39" s="20"/>
      <c r="W39" s="20"/>
      <c r="Z39" s="20"/>
      <c r="AB39" s="20"/>
      <c r="AD39" s="20"/>
      <c r="AE39" s="20"/>
      <c r="AF39" s="20"/>
      <c r="AG39" s="20"/>
      <c r="AH39" s="20"/>
      <c r="AI39" s="20"/>
      <c r="AJ39" s="76">
        <v>273183.27</v>
      </c>
      <c r="AL39" s="76">
        <v>241393.89</v>
      </c>
      <c r="AM39" s="76">
        <v>238757.74</v>
      </c>
      <c r="AN39" s="76">
        <v>236233.60000000001</v>
      </c>
      <c r="AO39" s="76">
        <v>233653.81</v>
      </c>
      <c r="AP39" s="76">
        <v>217467.47</v>
      </c>
      <c r="AQ39" s="76">
        <v>212209</v>
      </c>
      <c r="AR39" s="76">
        <v>212209</v>
      </c>
      <c r="AS39" s="76">
        <v>204718</v>
      </c>
      <c r="AT39" s="76">
        <v>204718</v>
      </c>
      <c r="AU39" s="76">
        <v>204718</v>
      </c>
      <c r="AV39" s="76">
        <v>-197886</v>
      </c>
      <c r="AW39" s="76"/>
      <c r="AX39" s="76"/>
      <c r="AY39" s="76"/>
      <c r="AZ39" s="76"/>
      <c r="BA39" s="76"/>
      <c r="BC39" s="76"/>
      <c r="BD39" s="76"/>
      <c r="BE39" s="76"/>
      <c r="BG39" s="76"/>
      <c r="BI39" s="76"/>
      <c r="BK39" s="76"/>
      <c r="BM39" s="76"/>
      <c r="BO39" s="76"/>
      <c r="BQ39" s="76"/>
      <c r="BS39" s="76"/>
      <c r="BU39" s="76"/>
      <c r="BW39" s="77"/>
      <c r="BY39" s="77"/>
      <c r="CA39" s="77"/>
      <c r="CB39" s="35"/>
      <c r="CC39" s="78"/>
      <c r="CD39" s="35"/>
      <c r="CE39" s="40"/>
      <c r="CF39" s="35"/>
      <c r="CG39" s="40"/>
      <c r="CH39" s="35"/>
      <c r="CI39" s="40"/>
      <c r="CJ39" s="35"/>
      <c r="CK39" s="79"/>
      <c r="CL39" s="73"/>
      <c r="CM39" s="79"/>
      <c r="CN39" s="80"/>
      <c r="CO39" s="79"/>
      <c r="CP39" s="80"/>
      <c r="CQ39" s="79"/>
      <c r="CR39" s="73"/>
      <c r="CS39" s="79"/>
      <c r="CT39" s="80"/>
      <c r="CU39" s="78"/>
      <c r="CV39" s="80"/>
      <c r="CW39" s="78"/>
      <c r="CX39" s="80"/>
      <c r="CY39" s="78"/>
      <c r="CZ39" s="80"/>
      <c r="DA39" s="78"/>
      <c r="DB39" s="80"/>
      <c r="DC39" s="78"/>
      <c r="DD39" s="80"/>
      <c r="DE39" s="78"/>
      <c r="DF39" s="80"/>
      <c r="DG39" s="78"/>
      <c r="DH39" s="80"/>
      <c r="DI39" s="78"/>
      <c r="DJ39" s="80"/>
      <c r="DK39" s="78"/>
      <c r="DL39" s="80"/>
      <c r="DM39" s="78"/>
      <c r="DN39" s="80"/>
      <c r="DO39" s="78"/>
      <c r="DP39" s="80"/>
      <c r="DQ39" s="78"/>
      <c r="DR39" s="80"/>
      <c r="DS39" s="78"/>
      <c r="DT39" s="80"/>
      <c r="DU39" s="78"/>
      <c r="DV39" s="80"/>
      <c r="DW39" s="78"/>
      <c r="DX39" s="80"/>
      <c r="DY39" s="78"/>
      <c r="DZ39" s="80"/>
      <c r="EA39" s="78"/>
      <c r="EB39" s="80"/>
      <c r="EC39" s="139"/>
      <c r="ED39" s="50"/>
    </row>
    <row r="40" spans="1:152" ht="23.1" customHeight="1" thickBot="1" x14ac:dyDescent="0.4">
      <c r="A40" s="135" t="s">
        <v>65</v>
      </c>
      <c r="G40" s="140">
        <f>G29+G35</f>
        <v>821804.36999999988</v>
      </c>
      <c r="H40" s="184"/>
      <c r="I40" s="140">
        <f>I29+I35</f>
        <v>782504.06999999983</v>
      </c>
      <c r="J40" s="184"/>
      <c r="K40" s="140">
        <f>K29+K35</f>
        <v>737459.3899999999</v>
      </c>
      <c r="M40" s="140">
        <f>M29+M35</f>
        <v>749990.1399999999</v>
      </c>
      <c r="O40" s="140">
        <f>O29+O35</f>
        <v>412769.76</v>
      </c>
      <c r="Q40" s="140">
        <f>Q29+Q35</f>
        <v>171710.10000000003</v>
      </c>
      <c r="T40" s="140">
        <f>T29+T35</f>
        <v>89937.050000000017</v>
      </c>
      <c r="W40" s="140">
        <f>W29+W35</f>
        <v>210617.99000000002</v>
      </c>
      <c r="Z40" s="140">
        <f>Z29+Z35</f>
        <v>211447.39</v>
      </c>
      <c r="AB40" s="140">
        <f>AB29+AB35</f>
        <v>187828.31</v>
      </c>
      <c r="AD40" s="140">
        <f>AD29+AD35</f>
        <v>283492.31</v>
      </c>
      <c r="AE40" s="20"/>
      <c r="AF40" s="20"/>
      <c r="AG40" s="141">
        <f>AG29+AG35</f>
        <v>344092.9</v>
      </c>
      <c r="AH40" s="20"/>
      <c r="AI40" s="141">
        <f>AI29+AI35</f>
        <v>986555.11999999988</v>
      </c>
      <c r="AJ40" s="76">
        <v>767108.52</v>
      </c>
      <c r="AL40" s="76">
        <v>692191.22</v>
      </c>
      <c r="AM40" s="76">
        <v>705161.9</v>
      </c>
      <c r="AN40" s="76">
        <v>718944.9</v>
      </c>
      <c r="AO40" s="76">
        <v>636578.38</v>
      </c>
      <c r="AP40" s="76">
        <v>647466.22</v>
      </c>
      <c r="AQ40" s="76">
        <v>520675.67</v>
      </c>
      <c r="AR40" s="76">
        <v>536399.41</v>
      </c>
      <c r="AS40" s="76">
        <v>552097.5</v>
      </c>
      <c r="AT40" s="76">
        <v>568226.27</v>
      </c>
      <c r="AU40" s="76">
        <v>488923.4</v>
      </c>
      <c r="AV40" s="76">
        <v>505176.32000000001</v>
      </c>
      <c r="AW40" s="76"/>
      <c r="AX40" s="76"/>
      <c r="AY40" s="76"/>
      <c r="AZ40" s="76"/>
      <c r="BA40" s="76"/>
      <c r="BC40" s="76"/>
      <c r="BD40" s="76"/>
      <c r="BE40" s="76"/>
      <c r="BG40" s="76"/>
      <c r="BI40" s="76"/>
      <c r="BK40" s="76"/>
      <c r="BM40" s="76"/>
      <c r="BO40" s="76"/>
      <c r="BQ40" s="76"/>
      <c r="BS40" s="76"/>
      <c r="BU40" s="76"/>
      <c r="BW40" s="77">
        <v>0</v>
      </c>
      <c r="BY40" s="77">
        <v>0</v>
      </c>
      <c r="CA40" s="77">
        <v>0</v>
      </c>
      <c r="CB40" s="35"/>
      <c r="CC40" s="78">
        <v>0</v>
      </c>
      <c r="CD40" s="35"/>
      <c r="CE40" s="40"/>
      <c r="CF40" s="35"/>
      <c r="CG40" s="40"/>
      <c r="CH40" s="35"/>
      <c r="CI40" s="40"/>
      <c r="CJ40" s="35"/>
      <c r="CK40" s="79"/>
      <c r="CL40" s="73"/>
      <c r="CM40" s="79"/>
      <c r="CN40" s="80"/>
      <c r="CO40" s="79"/>
      <c r="CP40" s="80"/>
      <c r="CQ40" s="79"/>
      <c r="CR40" s="73"/>
      <c r="CS40" s="79"/>
      <c r="CT40" s="80"/>
      <c r="CU40" s="78">
        <v>0</v>
      </c>
      <c r="CV40" s="80"/>
      <c r="CW40" s="78">
        <v>0</v>
      </c>
      <c r="CX40" s="80"/>
      <c r="CY40" s="78">
        <v>0</v>
      </c>
      <c r="CZ40" s="80"/>
      <c r="DA40" s="78">
        <v>0</v>
      </c>
      <c r="DB40" s="80"/>
      <c r="DC40" s="78">
        <v>0</v>
      </c>
      <c r="DD40" s="80"/>
      <c r="DE40" s="78">
        <v>0</v>
      </c>
      <c r="DF40" s="80"/>
      <c r="DG40" s="78">
        <v>0</v>
      </c>
      <c r="DH40" s="80"/>
      <c r="DI40" s="78">
        <v>0</v>
      </c>
      <c r="DJ40" s="80"/>
      <c r="DK40" s="78">
        <v>0</v>
      </c>
      <c r="DL40" s="80"/>
      <c r="DM40" s="78">
        <v>0</v>
      </c>
      <c r="DN40" s="80"/>
      <c r="DO40" s="78">
        <v>0</v>
      </c>
      <c r="DP40" s="80"/>
      <c r="DQ40" s="78">
        <v>0</v>
      </c>
      <c r="DR40" s="80"/>
      <c r="DS40" s="78">
        <v>0</v>
      </c>
      <c r="DT40" s="80"/>
      <c r="DU40" s="78">
        <v>0</v>
      </c>
      <c r="DV40" s="80"/>
      <c r="DW40" s="78">
        <v>0</v>
      </c>
      <c r="DX40" s="80"/>
      <c r="DY40" s="78">
        <v>29859.795000000042</v>
      </c>
      <c r="DZ40" s="80"/>
      <c r="EA40" s="78">
        <v>0</v>
      </c>
      <c r="EB40" s="80"/>
      <c r="EC40" s="139"/>
      <c r="ED40" s="50"/>
      <c r="EU40" s="125">
        <v>172470</v>
      </c>
      <c r="EV40" s="20" t="s">
        <v>34</v>
      </c>
    </row>
    <row r="41" spans="1:152" ht="23.1" customHeight="1" thickTop="1" x14ac:dyDescent="0.25">
      <c r="G41" s="20">
        <f>G40-G22</f>
        <v>0</v>
      </c>
      <c r="H41" s="20"/>
      <c r="I41" s="20">
        <f>I40-I22</f>
        <v>0</v>
      </c>
      <c r="J41" s="20"/>
      <c r="K41" s="20">
        <f>K40-K22</f>
        <v>0</v>
      </c>
      <c r="M41" s="20">
        <f>M40-M22</f>
        <v>0</v>
      </c>
      <c r="O41" s="20">
        <f>O40-O22</f>
        <v>0</v>
      </c>
      <c r="Q41" s="20">
        <f>Q22-Q40</f>
        <v>0</v>
      </c>
      <c r="T41" s="20">
        <f>T22-T40</f>
        <v>0</v>
      </c>
      <c r="W41" s="20">
        <f>W22-W40</f>
        <v>0</v>
      </c>
      <c r="Z41" s="20">
        <f>Z22-Z40</f>
        <v>0</v>
      </c>
      <c r="AB41" s="20">
        <f>AB22-AB40</f>
        <v>0</v>
      </c>
      <c r="AD41" s="20">
        <f>AD22-AD40</f>
        <v>0</v>
      </c>
      <c r="AG41" s="20">
        <f>AG22-AG40</f>
        <v>0</v>
      </c>
      <c r="AJ41" s="76">
        <v>364752.95</v>
      </c>
      <c r="AL41" s="76">
        <v>402620.08</v>
      </c>
      <c r="AM41" s="76">
        <v>350702.08000000002</v>
      </c>
      <c r="AN41" s="76">
        <v>303602.08</v>
      </c>
      <c r="AO41" s="76">
        <v>341244.34</v>
      </c>
      <c r="AP41" s="76">
        <v>285914.34000000003</v>
      </c>
      <c r="AQ41" s="76">
        <v>363489.68</v>
      </c>
      <c r="AR41" s="76">
        <v>307112.68</v>
      </c>
      <c r="AS41" s="76">
        <v>251280.68</v>
      </c>
      <c r="AT41" s="76">
        <v>196813.68</v>
      </c>
      <c r="AU41" s="76">
        <v>289771.33</v>
      </c>
      <c r="AV41" s="76">
        <v>233631.32</v>
      </c>
      <c r="AW41" s="76">
        <v>548739.55000000005</v>
      </c>
      <c r="AX41" s="76">
        <v>493999.55</v>
      </c>
      <c r="AY41" s="76">
        <v>386465</v>
      </c>
      <c r="AZ41" s="76">
        <v>281376.90000000002</v>
      </c>
      <c r="BA41" s="76"/>
      <c r="BC41" s="76"/>
      <c r="BD41" s="76"/>
      <c r="BE41" s="76"/>
      <c r="BG41" s="76"/>
      <c r="BI41" s="76"/>
      <c r="BK41" s="76"/>
      <c r="BM41" s="76"/>
      <c r="BO41" s="76"/>
      <c r="BQ41" s="76"/>
      <c r="BS41" s="76"/>
      <c r="BU41" s="76"/>
      <c r="BW41" s="81">
        <v>0</v>
      </c>
      <c r="BY41" s="81">
        <v>0</v>
      </c>
      <c r="CA41" s="81">
        <v>0</v>
      </c>
      <c r="CB41" s="21"/>
      <c r="CC41" s="82">
        <v>0</v>
      </c>
      <c r="CD41" s="21"/>
      <c r="CE41" s="40"/>
      <c r="CF41" s="21"/>
      <c r="CG41" s="40"/>
      <c r="CH41" s="21"/>
      <c r="CI41" s="40"/>
      <c r="CJ41" s="35"/>
      <c r="CK41" s="79"/>
      <c r="CL41" s="48"/>
      <c r="CM41" s="83"/>
      <c r="CN41" s="68"/>
      <c r="CO41" s="83"/>
      <c r="CP41" s="68"/>
      <c r="CQ41" s="83"/>
      <c r="CR41" s="48"/>
      <c r="CS41" s="83"/>
      <c r="CT41" s="84"/>
      <c r="CU41" s="82">
        <v>0</v>
      </c>
      <c r="CV41" s="84"/>
      <c r="CW41" s="82">
        <v>0</v>
      </c>
      <c r="CX41" s="84"/>
      <c r="CY41" s="82">
        <v>0</v>
      </c>
      <c r="CZ41" s="84"/>
      <c r="DA41" s="82">
        <v>0</v>
      </c>
      <c r="DB41" s="84"/>
      <c r="DC41" s="82">
        <v>0</v>
      </c>
      <c r="DD41" s="84"/>
      <c r="DE41" s="82">
        <v>0</v>
      </c>
      <c r="DF41" s="84"/>
      <c r="DG41" s="82">
        <v>0</v>
      </c>
      <c r="DH41" s="84"/>
      <c r="DI41" s="82">
        <v>0</v>
      </c>
      <c r="DJ41" s="84"/>
      <c r="DK41" s="82">
        <v>0</v>
      </c>
      <c r="DL41" s="84"/>
      <c r="DM41" s="82">
        <v>0</v>
      </c>
      <c r="DN41" s="84"/>
      <c r="DO41" s="82">
        <v>0</v>
      </c>
      <c r="DP41" s="84"/>
      <c r="DQ41" s="82">
        <v>0</v>
      </c>
      <c r="DR41" s="84"/>
      <c r="DS41" s="82">
        <v>0</v>
      </c>
      <c r="DT41" s="84"/>
      <c r="DU41" s="82">
        <v>0</v>
      </c>
      <c r="DV41" s="84"/>
      <c r="DW41" s="82">
        <v>0</v>
      </c>
      <c r="DX41" s="84"/>
      <c r="DY41" s="82">
        <v>9953.265000000014</v>
      </c>
      <c r="DZ41" s="84"/>
      <c r="EA41" s="82">
        <v>0</v>
      </c>
      <c r="EB41" s="84"/>
      <c r="EC41" s="46"/>
      <c r="ED41" s="50"/>
      <c r="EU41" s="125">
        <v>134140</v>
      </c>
      <c r="EV41" s="20" t="s">
        <v>33</v>
      </c>
    </row>
    <row r="42" spans="1:152" ht="23.1" hidden="1" customHeight="1" x14ac:dyDescent="0.25">
      <c r="G42" s="20">
        <f>G40-G22</f>
        <v>0</v>
      </c>
      <c r="H42" s="20"/>
      <c r="I42" s="20">
        <f>I40-I22</f>
        <v>0</v>
      </c>
      <c r="J42" s="20"/>
      <c r="K42" s="20">
        <f>K40-K22</f>
        <v>0</v>
      </c>
      <c r="M42" s="20">
        <f>M40-M22</f>
        <v>0</v>
      </c>
      <c r="O42" s="20">
        <f>O40-O22</f>
        <v>0</v>
      </c>
      <c r="Q42" s="20">
        <f>Q40-Q22</f>
        <v>0</v>
      </c>
      <c r="T42" s="20">
        <f>T40-T22</f>
        <v>0</v>
      </c>
      <c r="W42" s="20">
        <f>W40-W22</f>
        <v>0</v>
      </c>
      <c r="Z42" s="20">
        <f>Z40-Z22</f>
        <v>0</v>
      </c>
      <c r="AB42" s="20">
        <f>AB40-AB22</f>
        <v>0</v>
      </c>
      <c r="AD42" s="20">
        <f>AD40-AD22</f>
        <v>0</v>
      </c>
      <c r="AG42" s="20">
        <f>AG40-AG22</f>
        <v>0</v>
      </c>
      <c r="AI42" s="20">
        <f>AI40-AI22</f>
        <v>818664.11999999988</v>
      </c>
      <c r="AJ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>
        <f>162780.38-0.28</f>
        <v>162780.1</v>
      </c>
      <c r="AX42" s="76">
        <v>190985.25</v>
      </c>
      <c r="AY42" s="76">
        <v>234712.19</v>
      </c>
      <c r="AZ42" s="76">
        <v>331325</v>
      </c>
      <c r="BA42" s="76">
        <v>640766.05000000005</v>
      </c>
      <c r="BC42" s="76">
        <v>628131.5</v>
      </c>
      <c r="BD42" s="76"/>
      <c r="BE42" s="76">
        <v>618057.43000000005</v>
      </c>
      <c r="BG42" s="76">
        <v>607886.04</v>
      </c>
      <c r="BI42" s="76">
        <v>544526.77</v>
      </c>
      <c r="BK42" s="76">
        <v>535402.56999999995</v>
      </c>
      <c r="BM42" s="76">
        <v>525971.97</v>
      </c>
      <c r="BO42" s="76">
        <v>516860.53</v>
      </c>
      <c r="BQ42" s="76">
        <v>506854.85</v>
      </c>
      <c r="BS42" s="76">
        <v>524105.63</v>
      </c>
      <c r="BU42" s="76">
        <v>512039.22</v>
      </c>
      <c r="BW42" s="77">
        <v>549151.61</v>
      </c>
      <c r="BY42" s="77">
        <v>539350.64</v>
      </c>
      <c r="CA42" s="77">
        <v>526832.14</v>
      </c>
      <c r="CB42" s="21"/>
      <c r="CC42" s="78">
        <v>517311.92</v>
      </c>
      <c r="CD42" s="21"/>
      <c r="CE42" s="40"/>
      <c r="CF42" s="21"/>
      <c r="CG42" s="40"/>
      <c r="CH42" s="21"/>
      <c r="CI42" s="40"/>
      <c r="CJ42" s="35"/>
      <c r="CK42" s="79"/>
      <c r="CL42" s="48"/>
      <c r="CM42" s="79"/>
      <c r="CN42" s="73"/>
      <c r="CO42" s="79"/>
      <c r="CP42" s="73"/>
      <c r="CQ42" s="79"/>
      <c r="CR42" s="48"/>
      <c r="CS42" s="79"/>
      <c r="CT42" s="80"/>
      <c r="CU42" s="78">
        <v>508644.53</v>
      </c>
      <c r="CV42" s="80"/>
      <c r="CW42" s="78">
        <v>494685.4</v>
      </c>
      <c r="CX42" s="80"/>
      <c r="CY42" s="78">
        <v>525626.73</v>
      </c>
      <c r="CZ42" s="80"/>
      <c r="DA42" s="78">
        <v>469247.24</v>
      </c>
      <c r="DB42" s="80"/>
      <c r="DC42" s="78">
        <f>382482.64</f>
        <v>382482.64</v>
      </c>
      <c r="DD42" s="80"/>
      <c r="DE42" s="78">
        <f>373856.17+0.01</f>
        <v>373856.18</v>
      </c>
      <c r="DF42" s="80"/>
      <c r="DG42" s="78">
        <v>366408.5</v>
      </c>
      <c r="DH42" s="80"/>
      <c r="DI42" s="78">
        <v>356849.74</v>
      </c>
      <c r="DJ42" s="80"/>
      <c r="DK42" s="78">
        <v>365990.40000000002</v>
      </c>
      <c r="DL42" s="80"/>
      <c r="DM42" s="78">
        <v>358229.81</v>
      </c>
      <c r="DN42" s="80"/>
      <c r="DO42" s="78">
        <f>348187.87-3.94</f>
        <v>348183.93</v>
      </c>
      <c r="DP42" s="80"/>
      <c r="DQ42" s="78">
        <v>363322.53</v>
      </c>
      <c r="DR42" s="80"/>
      <c r="DS42" s="78">
        <v>353935.83</v>
      </c>
      <c r="DT42" s="80"/>
      <c r="DU42" s="78">
        <v>347834.37</v>
      </c>
      <c r="DV42" s="80"/>
      <c r="DW42" s="78">
        <v>326416.31</v>
      </c>
      <c r="DX42" s="80"/>
      <c r="DY42" s="78">
        <v>301157.24</v>
      </c>
      <c r="DZ42" s="80"/>
      <c r="EA42" s="78">
        <v>300157.7</v>
      </c>
      <c r="EB42" s="80"/>
      <c r="EC42" s="46"/>
      <c r="ED42" s="50"/>
    </row>
    <row r="43" spans="1:152" ht="8.1" customHeight="1" x14ac:dyDescent="0.25">
      <c r="AJ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C43" s="85"/>
      <c r="BD43" s="85"/>
      <c r="BE43" s="85"/>
      <c r="BG43" s="85"/>
      <c r="BI43" s="85"/>
      <c r="BK43" s="85"/>
      <c r="BM43" s="85"/>
      <c r="BO43" s="85"/>
      <c r="BQ43" s="85"/>
      <c r="BS43" s="85"/>
      <c r="BU43" s="85"/>
      <c r="BW43" s="86"/>
      <c r="BY43" s="86"/>
      <c r="CA43" s="86"/>
      <c r="CB43" s="21"/>
      <c r="CC43" s="87"/>
      <c r="CD43" s="21"/>
      <c r="CE43" s="42"/>
      <c r="CF43" s="21"/>
      <c r="CG43" s="42"/>
      <c r="CH43" s="21"/>
      <c r="CI43" s="42"/>
      <c r="CJ43" s="35"/>
      <c r="CK43" s="88"/>
      <c r="CL43" s="48"/>
      <c r="CM43" s="89"/>
      <c r="CN43" s="68"/>
      <c r="CO43" s="89"/>
      <c r="CP43" s="68"/>
      <c r="CQ43" s="89"/>
      <c r="CR43" s="48"/>
      <c r="CS43" s="89"/>
      <c r="CT43" s="84"/>
      <c r="CU43" s="87"/>
      <c r="CV43" s="84"/>
      <c r="CW43" s="87"/>
      <c r="CX43" s="84"/>
      <c r="CY43" s="87"/>
      <c r="CZ43" s="84"/>
      <c r="DA43" s="87"/>
      <c r="DB43" s="84"/>
      <c r="DC43" s="87"/>
      <c r="DD43" s="84"/>
      <c r="DE43" s="87"/>
      <c r="DF43" s="84"/>
      <c r="DG43" s="87"/>
      <c r="DH43" s="84"/>
      <c r="DI43" s="87"/>
      <c r="DJ43" s="84"/>
      <c r="DK43" s="87"/>
      <c r="DL43" s="84"/>
      <c r="DM43" s="87"/>
      <c r="DN43" s="84"/>
      <c r="DO43" s="87"/>
      <c r="DP43" s="84"/>
      <c r="DQ43" s="87"/>
      <c r="DR43" s="84"/>
      <c r="DS43" s="87"/>
      <c r="DT43" s="84"/>
      <c r="DU43" s="87"/>
      <c r="DV43" s="84"/>
      <c r="DW43" s="87"/>
      <c r="DX43" s="84"/>
      <c r="DY43" s="87"/>
      <c r="DZ43" s="84"/>
      <c r="EA43" s="87"/>
      <c r="EB43" s="84"/>
      <c r="EC43" s="46"/>
      <c r="ED43" s="50"/>
    </row>
    <row r="44" spans="1:152" ht="8.1" customHeight="1" x14ac:dyDescent="0.25">
      <c r="BW44" s="107"/>
      <c r="BY44" s="107"/>
      <c r="CA44" s="107"/>
      <c r="CB44" s="21"/>
      <c r="CC44" s="68"/>
      <c r="CD44" s="21"/>
      <c r="CE44" s="35"/>
      <c r="CF44" s="21"/>
      <c r="CG44" s="35"/>
      <c r="CH44" s="21"/>
      <c r="CI44" s="35"/>
      <c r="CJ44" s="35"/>
      <c r="CK44" s="73"/>
      <c r="CL44" s="48"/>
      <c r="CM44" s="51"/>
      <c r="CN44" s="48"/>
      <c r="CO44" s="51"/>
      <c r="CP44" s="48"/>
      <c r="CQ44" s="51"/>
      <c r="CR44" s="4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46"/>
      <c r="ED44" s="50"/>
    </row>
    <row r="45" spans="1:152" ht="8.1" customHeight="1" x14ac:dyDescent="0.25">
      <c r="AJ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C45" s="91"/>
      <c r="BD45" s="91"/>
      <c r="BE45" s="91"/>
      <c r="BG45" s="91"/>
      <c r="BI45" s="91"/>
      <c r="BK45" s="91"/>
      <c r="BM45" s="91"/>
      <c r="BO45" s="91"/>
      <c r="BQ45" s="91"/>
      <c r="BS45" s="91"/>
      <c r="BU45" s="91"/>
      <c r="BW45" s="92"/>
      <c r="BY45" s="92"/>
      <c r="CA45" s="92"/>
      <c r="CB45" s="21"/>
      <c r="CC45" s="93"/>
      <c r="CD45" s="21"/>
      <c r="CE45" s="43"/>
      <c r="CF45" s="21"/>
      <c r="CG45" s="43"/>
      <c r="CH45" s="21"/>
      <c r="CI45" s="43"/>
      <c r="CJ45" s="35"/>
      <c r="CK45" s="94"/>
      <c r="CL45" s="48"/>
      <c r="CM45" s="48"/>
      <c r="CN45" s="48"/>
      <c r="CO45" s="48"/>
      <c r="CP45" s="48"/>
      <c r="CQ45" s="48"/>
      <c r="CR45" s="48"/>
      <c r="CS45" s="108"/>
      <c r="CT45" s="68"/>
      <c r="CU45" s="93"/>
      <c r="CV45" s="68"/>
      <c r="CW45" s="93"/>
      <c r="CX45" s="68"/>
      <c r="CY45" s="93"/>
      <c r="CZ45" s="68"/>
      <c r="DA45" s="93"/>
      <c r="DB45" s="68"/>
      <c r="DC45" s="93"/>
      <c r="DD45" s="68"/>
      <c r="DE45" s="93"/>
      <c r="DF45" s="68"/>
      <c r="DG45" s="93"/>
      <c r="DH45" s="68"/>
      <c r="DI45" s="93"/>
      <c r="DJ45" s="68"/>
      <c r="DK45" s="93"/>
      <c r="DL45" s="68"/>
      <c r="DM45" s="93"/>
      <c r="DN45" s="68"/>
      <c r="DO45" s="93"/>
      <c r="DP45" s="68"/>
      <c r="DQ45" s="93"/>
      <c r="DR45" s="68"/>
      <c r="DS45" s="93"/>
      <c r="DT45" s="68"/>
      <c r="DU45" s="93"/>
      <c r="DV45" s="68"/>
      <c r="DW45" s="93"/>
      <c r="DX45" s="68"/>
      <c r="DY45" s="93"/>
      <c r="DZ45" s="68"/>
      <c r="EA45" s="93"/>
      <c r="EB45" s="68"/>
      <c r="EC45" s="46"/>
      <c r="ED45" s="50"/>
    </row>
    <row r="46" spans="1:152" ht="21.75" customHeight="1" x14ac:dyDescent="0.25">
      <c r="AJ46" s="96">
        <v>4084284.78</v>
      </c>
      <c r="AL46" s="96">
        <v>4068217.89</v>
      </c>
      <c r="AM46" s="96">
        <v>4046769.88</v>
      </c>
      <c r="AN46" s="96">
        <v>4031448.74</v>
      </c>
      <c r="AO46" s="96">
        <v>4003531.78</v>
      </c>
      <c r="AP46" s="96">
        <v>3987735.54</v>
      </c>
      <c r="AQ46" s="96">
        <v>3964220.86</v>
      </c>
      <c r="AR46" s="96">
        <v>3938582.79</v>
      </c>
      <c r="AS46" s="96">
        <v>3914443.3</v>
      </c>
      <c r="AT46" s="121">
        <v>3890684.74</v>
      </c>
      <c r="AU46" s="96">
        <f t="shared" ref="AU46:BA46" si="4">AU35+AU33+AU29</f>
        <v>993564.73</v>
      </c>
      <c r="AV46" s="96">
        <f t="shared" si="4"/>
        <v>550227.64</v>
      </c>
      <c r="AW46" s="96">
        <f t="shared" si="4"/>
        <v>719979.65</v>
      </c>
      <c r="AX46" s="96">
        <f t="shared" si="4"/>
        <v>692598.8</v>
      </c>
      <c r="AY46" s="96">
        <f t="shared" si="4"/>
        <v>628791.18999999994</v>
      </c>
      <c r="AZ46" s="96">
        <f t="shared" si="4"/>
        <v>618623.9</v>
      </c>
      <c r="BA46" s="96">
        <f t="shared" si="4"/>
        <v>656360.05000000005</v>
      </c>
      <c r="BC46" s="96">
        <f>BC35+BC33+BC29</f>
        <v>642879.5</v>
      </c>
      <c r="BD46" s="96"/>
      <c r="BE46" s="96">
        <f>BE35+BE33+BE29</f>
        <v>634059.88</v>
      </c>
      <c r="BG46" s="96">
        <f>BG35+BG33+BG29</f>
        <v>623042.49</v>
      </c>
      <c r="BI46" s="96">
        <f>BI35+BI33+BI29</f>
        <v>557991.22</v>
      </c>
      <c r="BK46" s="96">
        <f>BK35+BK33+BK29</f>
        <v>548021.0199999999</v>
      </c>
      <c r="BM46" s="96">
        <f>BM35+BM33+BM29</f>
        <v>537744.41999999993</v>
      </c>
      <c r="BO46" s="96">
        <f>BO35+BO33+BO29</f>
        <v>525726.53</v>
      </c>
      <c r="BQ46" s="96">
        <f>BQ35+BQ33+BQ29</f>
        <v>514915.14999999997</v>
      </c>
      <c r="BS46" s="96">
        <f>BS35+BS33+BS29</f>
        <v>540659.63</v>
      </c>
      <c r="BU46" s="96">
        <f>BU35+BU33+BU29</f>
        <v>527787.22</v>
      </c>
      <c r="BW46" s="96">
        <f>BW35+BW33+BW29</f>
        <v>564093.61</v>
      </c>
      <c r="BY46" s="96">
        <f>BY35+BY33+BY29</f>
        <v>553486.64</v>
      </c>
      <c r="CA46" s="96">
        <f>CA35+CA33+CA29</f>
        <v>540162.14</v>
      </c>
      <c r="CB46" s="21"/>
      <c r="CC46" s="84">
        <f>CC35+CC33+CC29</f>
        <v>529835.91999999993</v>
      </c>
      <c r="CD46" s="21"/>
      <c r="CE46" s="80" t="e">
        <f>CE29+#REF!+CE35+#REF!</f>
        <v>#REF!</v>
      </c>
      <c r="CF46" s="21"/>
      <c r="CG46" s="80" t="e">
        <f>CG29+#REF!+CG35+#REF!</f>
        <v>#REF!</v>
      </c>
      <c r="CH46" s="21"/>
      <c r="CI46" s="80" t="e">
        <f>CI29+#REF!+CI35+#REF!</f>
        <v>#REF!</v>
      </c>
      <c r="CJ46" s="35"/>
      <c r="CK46" s="80" t="e">
        <f>CK29+#REF!+CK35+#REF!</f>
        <v>#REF!</v>
      </c>
      <c r="CL46" s="48"/>
      <c r="CM46" s="80" t="e">
        <f>CM29+#REF!+CM35+#REF!</f>
        <v>#REF!</v>
      </c>
      <c r="CN46" s="48"/>
      <c r="CO46" s="80" t="e">
        <f>CO29+#REF!+CO35+#REF!</f>
        <v>#REF!</v>
      </c>
      <c r="CP46" s="48"/>
      <c r="CQ46" s="80" t="e">
        <f>CQ29+#REF!+CQ35+#REF!</f>
        <v>#REF!</v>
      </c>
      <c r="CR46" s="48"/>
      <c r="CS46" s="80" t="e">
        <f>CS29+#REF!+CS35+#REF!</f>
        <v>#REF!</v>
      </c>
      <c r="CT46" s="80"/>
      <c r="CU46" s="84">
        <f>CU35+CU33+CU29</f>
        <v>520362.53</v>
      </c>
      <c r="CV46" s="80"/>
      <c r="CW46" s="84">
        <f>CW35+CW33+CW29</f>
        <v>505597.4</v>
      </c>
      <c r="CX46" s="80"/>
      <c r="CY46" s="84">
        <f>CY35+CY33+CY29</f>
        <v>535732.73</v>
      </c>
      <c r="CZ46" s="80"/>
      <c r="DA46" s="84">
        <f>DA35+DA33+DA29</f>
        <v>478547.24</v>
      </c>
      <c r="DB46" s="80"/>
      <c r="DC46" s="84">
        <f>DC35+DC33+DC29</f>
        <v>390457.64</v>
      </c>
      <c r="DD46" s="80"/>
      <c r="DE46" s="84">
        <f>DE35+DE33+DE29</f>
        <v>381106.18</v>
      </c>
      <c r="DF46" s="80"/>
      <c r="DG46" s="84">
        <f>DG35+DG33+DG29</f>
        <v>372933.5</v>
      </c>
      <c r="DH46" s="80"/>
      <c r="DI46" s="84">
        <f>DI35+DI33+DI29</f>
        <v>362649.74</v>
      </c>
      <c r="DJ46" s="80"/>
      <c r="DK46" s="84">
        <f>DK35+DK33+DK29</f>
        <v>371065.4</v>
      </c>
      <c r="DL46" s="80"/>
      <c r="DM46" s="84">
        <f>DM35+DM33+DM29</f>
        <v>362579.81</v>
      </c>
      <c r="DN46" s="80"/>
      <c r="DO46" s="84">
        <f>DO35+DO33+DO29</f>
        <v>351083.93</v>
      </c>
      <c r="DP46" s="80"/>
      <c r="DQ46" s="84">
        <f>DQ35+DQ33+DQ29</f>
        <v>366222.53</v>
      </c>
      <c r="DR46" s="80"/>
      <c r="DS46" s="84">
        <f>DS35+DS33+DS29</f>
        <v>358250.83</v>
      </c>
      <c r="DT46" s="80"/>
      <c r="DU46" s="84">
        <f>DU35+DU33+DU29</f>
        <v>349284.37</v>
      </c>
      <c r="DV46" s="80"/>
      <c r="DW46" s="84">
        <f>DW35+DW33+DW29</f>
        <v>334441.31</v>
      </c>
      <c r="DX46" s="80"/>
      <c r="DY46" s="84">
        <f>DY35+DY33+DY29</f>
        <v>348995.30000000005</v>
      </c>
      <c r="DZ46" s="80"/>
      <c r="EA46" s="84">
        <f>EA35+EA33+EA29</f>
        <v>300157.7</v>
      </c>
      <c r="EB46" s="80"/>
      <c r="EC46" s="46"/>
      <c r="ED46" s="50"/>
    </row>
    <row r="47" spans="1:152" ht="8.1" customHeight="1" thickBot="1" x14ac:dyDescent="0.3">
      <c r="AJ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C47" s="97"/>
      <c r="BD47" s="97"/>
      <c r="BE47" s="97"/>
      <c r="BG47" s="97"/>
      <c r="BI47" s="97"/>
      <c r="BK47" s="97"/>
      <c r="BM47" s="97"/>
      <c r="BO47" s="97"/>
      <c r="BQ47" s="97"/>
      <c r="BS47" s="97"/>
      <c r="BU47" s="97"/>
      <c r="BW47" s="98"/>
      <c r="BY47" s="98"/>
      <c r="CA47" s="98"/>
      <c r="CB47" s="21"/>
      <c r="CC47" s="99"/>
      <c r="CD47" s="21"/>
      <c r="CE47" s="32"/>
      <c r="CF47" s="21"/>
      <c r="CG47" s="32"/>
      <c r="CH47" s="21"/>
      <c r="CI47" s="32"/>
      <c r="CJ47" s="35"/>
      <c r="CK47" s="100"/>
      <c r="CL47" s="48"/>
      <c r="CM47" s="101"/>
      <c r="CN47" s="48"/>
      <c r="CO47" s="101"/>
      <c r="CP47" s="48"/>
      <c r="CQ47" s="101"/>
      <c r="CR47" s="48"/>
      <c r="CS47" s="101"/>
      <c r="CT47" s="53"/>
      <c r="CU47" s="99"/>
      <c r="CV47" s="53"/>
      <c r="CW47" s="99"/>
      <c r="CX47" s="53"/>
      <c r="CY47" s="99"/>
      <c r="CZ47" s="53"/>
      <c r="DA47" s="99"/>
      <c r="DB47" s="53"/>
      <c r="DC47" s="99"/>
      <c r="DD47" s="53"/>
      <c r="DE47" s="99"/>
      <c r="DF47" s="53"/>
      <c r="DG47" s="99"/>
      <c r="DH47" s="53"/>
      <c r="DI47" s="99"/>
      <c r="DJ47" s="53"/>
      <c r="DK47" s="99"/>
      <c r="DL47" s="53"/>
      <c r="DM47" s="99"/>
      <c r="DN47" s="53"/>
      <c r="DO47" s="99"/>
      <c r="DP47" s="53"/>
      <c r="DQ47" s="99"/>
      <c r="DR47" s="53"/>
      <c r="DS47" s="99"/>
      <c r="DT47" s="53"/>
      <c r="DU47" s="99"/>
      <c r="DV47" s="53"/>
      <c r="DW47" s="99"/>
      <c r="DX47" s="53"/>
      <c r="DY47" s="99"/>
      <c r="DZ47" s="53"/>
      <c r="EA47" s="99"/>
      <c r="EB47" s="53"/>
      <c r="EC47" s="46"/>
      <c r="ED47" s="50"/>
    </row>
    <row r="48" spans="1:152" ht="8.1" customHeight="1" thickTop="1" x14ac:dyDescent="0.25">
      <c r="BW48" s="21"/>
      <c r="BY48" s="21"/>
      <c r="CA48" s="21"/>
      <c r="CB48" s="21"/>
      <c r="CC48" s="21"/>
      <c r="CD48" s="21"/>
      <c r="CE48" s="35"/>
      <c r="CF48" s="21"/>
      <c r="CG48" s="35"/>
      <c r="CH48" s="21"/>
      <c r="CI48" s="35"/>
      <c r="CJ48" s="35"/>
      <c r="CK48" s="73"/>
      <c r="CL48" s="48"/>
      <c r="CM48" s="48"/>
      <c r="CN48" s="48"/>
      <c r="CO48" s="48"/>
      <c r="CP48" s="48"/>
      <c r="CQ48" s="48"/>
      <c r="CR48" s="4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46"/>
      <c r="ED48" s="50"/>
    </row>
    <row r="49" spans="36:134" ht="20.25" customHeight="1" x14ac:dyDescent="0.25">
      <c r="AJ49" s="20">
        <f t="shared" ref="AJ49:AU49" si="5">AJ22-AJ46</f>
        <v>0</v>
      </c>
      <c r="AK49" s="20">
        <f t="shared" si="5"/>
        <v>0</v>
      </c>
      <c r="AL49" s="20">
        <f t="shared" si="5"/>
        <v>0</v>
      </c>
      <c r="AM49" s="20">
        <f t="shared" si="5"/>
        <v>0</v>
      </c>
      <c r="AN49" s="20">
        <f t="shared" si="5"/>
        <v>0</v>
      </c>
      <c r="AO49" s="20">
        <f t="shared" si="5"/>
        <v>0</v>
      </c>
      <c r="AP49" s="20">
        <f t="shared" si="5"/>
        <v>0</v>
      </c>
      <c r="AQ49" s="20">
        <f t="shared" si="5"/>
        <v>0</v>
      </c>
      <c r="AR49" s="20">
        <f t="shared" si="5"/>
        <v>0</v>
      </c>
      <c r="AS49" s="20">
        <f t="shared" si="5"/>
        <v>2.0400000000372529</v>
      </c>
      <c r="AT49" s="20">
        <f t="shared" si="5"/>
        <v>2.0399999995715916</v>
      </c>
      <c r="AU49" s="20">
        <f t="shared" si="5"/>
        <v>2750532.11</v>
      </c>
      <c r="AV49" s="20">
        <f t="shared" ref="AV49:BA49" si="6">+AV22-AV46</f>
        <v>3202710.3</v>
      </c>
      <c r="AW49" s="20">
        <f t="shared" si="6"/>
        <v>3070762.84</v>
      </c>
      <c r="AX49" s="20">
        <f t="shared" si="6"/>
        <v>3076759.2800000003</v>
      </c>
      <c r="AY49" s="20">
        <f t="shared" si="6"/>
        <v>3097066.3400000003</v>
      </c>
      <c r="AZ49" s="20">
        <f t="shared" si="6"/>
        <v>3119163.02</v>
      </c>
      <c r="BA49" s="20">
        <f t="shared" si="6"/>
        <v>3139449.45</v>
      </c>
      <c r="BC49" s="20">
        <f>+BC22-BC46</f>
        <v>3161780</v>
      </c>
      <c r="BE49" s="20">
        <f>+BE22-BE46</f>
        <v>3179733.28</v>
      </c>
      <c r="BW49" s="21"/>
      <c r="BY49" s="21"/>
      <c r="CA49" s="21"/>
      <c r="CB49" s="21"/>
      <c r="CC49" s="21"/>
      <c r="CD49" s="21"/>
      <c r="CE49" s="21"/>
      <c r="CF49" s="21"/>
      <c r="CG49" s="35"/>
      <c r="CH49" s="21"/>
      <c r="CI49" s="35"/>
      <c r="CJ49" s="35"/>
      <c r="CK49" s="73"/>
      <c r="CL49" s="48"/>
      <c r="CM49" s="49"/>
      <c r="CN49" s="48"/>
      <c r="CO49" s="49"/>
      <c r="CP49" s="48"/>
      <c r="CQ49" s="48"/>
      <c r="CR49" s="4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46"/>
      <c r="ED49" s="50"/>
    </row>
    <row r="50" spans="36:134" ht="21" customHeight="1" x14ac:dyDescent="0.25">
      <c r="BW50" s="84">
        <f>BW46-BW22</f>
        <v>-3365114.73</v>
      </c>
      <c r="BY50" s="84">
        <f>BY46-BY22</f>
        <v>-3384946.54</v>
      </c>
      <c r="CA50" s="84">
        <f>CA46-CA22</f>
        <v>-3407496.8299999996</v>
      </c>
      <c r="CB50" s="21"/>
      <c r="CC50" s="84">
        <f>CC46-CC22</f>
        <v>-3427046.59</v>
      </c>
      <c r="CD50" s="21"/>
      <c r="CE50" s="109" t="e">
        <f>CE46-CE22</f>
        <v>#REF!</v>
      </c>
      <c r="CF50" s="21"/>
      <c r="CG50" s="109" t="e">
        <f>CG46-CG22</f>
        <v>#REF!</v>
      </c>
      <c r="CH50" s="21"/>
      <c r="CI50" s="35" t="e">
        <f>CI46-CI22</f>
        <v>#REF!</v>
      </c>
      <c r="CJ50" s="35"/>
      <c r="CK50" s="73" t="e">
        <f>CK46-CK22</f>
        <v>#REF!</v>
      </c>
      <c r="CL50" s="48"/>
      <c r="CM50" s="71" t="e">
        <f>CM46-CM22</f>
        <v>#REF!</v>
      </c>
      <c r="CN50" s="48"/>
      <c r="CO50" s="71" t="e">
        <f>CO46-CO22</f>
        <v>#REF!</v>
      </c>
      <c r="CP50" s="71"/>
      <c r="CQ50" s="71" t="e">
        <f>CQ46-CQ22</f>
        <v>#REF!</v>
      </c>
      <c r="CR50" s="48"/>
      <c r="CS50" s="71" t="e">
        <f>CS46-CS22</f>
        <v>#REF!</v>
      </c>
      <c r="CT50" s="71"/>
      <c r="CU50" s="84">
        <f>CU46-CU22</f>
        <v>-3446718.08</v>
      </c>
      <c r="CV50" s="71"/>
      <c r="CW50" s="84">
        <f>CW46-CW22</f>
        <v>-3467727.4999999995</v>
      </c>
      <c r="CX50" s="71"/>
      <c r="CY50" s="84">
        <f>CY46-CY22</f>
        <v>-3447855.23</v>
      </c>
      <c r="CZ50" s="71"/>
      <c r="DA50" s="84">
        <f>DA46-DA22</f>
        <v>-3468307.75</v>
      </c>
      <c r="DB50" s="71"/>
      <c r="DC50" s="84">
        <f>DC46-DC22</f>
        <v>-3689622.21</v>
      </c>
      <c r="DD50" s="71"/>
      <c r="DE50" s="84">
        <f>DE46-DE22</f>
        <v>-3708321.1599999997</v>
      </c>
      <c r="DF50" s="71"/>
      <c r="DG50" s="84">
        <f>DG46-DG22</f>
        <v>-3727839.42</v>
      </c>
      <c r="DH50" s="71"/>
      <c r="DI50" s="84">
        <f>DI46-DI22</f>
        <v>-3746468.79</v>
      </c>
      <c r="DJ50" s="71"/>
      <c r="DK50" s="84">
        <f>DK46-DK22</f>
        <v>-3746399.4</v>
      </c>
      <c r="DL50" s="71"/>
      <c r="DM50" s="84">
        <f>DM46-DM22</f>
        <v>-3764473.89</v>
      </c>
      <c r="DN50" s="71"/>
      <c r="DO50" s="84">
        <f>DO46-DO22</f>
        <v>-3785559.52</v>
      </c>
      <c r="DP50" s="71"/>
      <c r="DQ50" s="84">
        <f>DQ46-DQ22</f>
        <v>-3779010.2699999996</v>
      </c>
      <c r="DR50" s="71"/>
      <c r="DS50" s="84">
        <f>DS46-DS22</f>
        <v>-3796567.39</v>
      </c>
      <c r="DT50" s="71"/>
      <c r="DU50" s="84">
        <f>DU46-DU22</f>
        <v>-3814125.16</v>
      </c>
      <c r="DV50" s="71"/>
      <c r="DW50" s="84">
        <f>DW46-DW22</f>
        <v>-3837563.78</v>
      </c>
      <c r="DX50" s="71"/>
      <c r="DY50" s="84">
        <f>DY46-DY22</f>
        <v>-3834134.51</v>
      </c>
      <c r="DZ50" s="71"/>
      <c r="EA50" s="84">
        <f>EA46-EA22</f>
        <v>-3578990.7199999997</v>
      </c>
      <c r="EB50" s="71"/>
      <c r="EC50" s="46"/>
      <c r="ED50" s="50"/>
    </row>
    <row r="51" spans="36:134" ht="18" customHeight="1" x14ac:dyDescent="0.25">
      <c r="CG51" s="20"/>
      <c r="CI51" s="20"/>
      <c r="CJ51" s="20"/>
      <c r="CK51" s="20"/>
      <c r="CQ51" s="110"/>
      <c r="EC51" s="46"/>
    </row>
    <row r="52" spans="36:134" ht="18" customHeight="1" x14ac:dyDescent="0.25">
      <c r="CG52" s="20"/>
      <c r="CI52" s="20"/>
      <c r="CJ52" s="20"/>
      <c r="CK52" s="20"/>
      <c r="CQ52" s="110"/>
    </row>
    <row r="53" spans="36:134" ht="18" customHeight="1" x14ac:dyDescent="0.25">
      <c r="CG53" s="20"/>
      <c r="CI53" s="20"/>
      <c r="CJ53" s="20"/>
      <c r="CK53" s="20"/>
      <c r="CQ53" s="110"/>
    </row>
    <row r="54" spans="36:134" ht="18" customHeight="1" x14ac:dyDescent="0.25">
      <c r="CG54" s="20"/>
      <c r="CI54" s="20"/>
      <c r="CJ54" s="20"/>
      <c r="CK54" s="20"/>
      <c r="CQ54" s="110"/>
    </row>
    <row r="55" spans="36:134" ht="18" customHeight="1" x14ac:dyDescent="0.25">
      <c r="CG55" s="20"/>
      <c r="CI55" s="20"/>
      <c r="CJ55" s="20"/>
      <c r="CK55" s="20"/>
      <c r="CQ55" s="110"/>
    </row>
    <row r="56" spans="36:134" ht="18" customHeight="1" x14ac:dyDescent="0.25">
      <c r="CG56" s="20"/>
      <c r="CI56" s="20"/>
      <c r="CJ56" s="20"/>
      <c r="CK56" s="20"/>
      <c r="CQ56" s="110"/>
    </row>
    <row r="57" spans="36:134" ht="18" customHeight="1" x14ac:dyDescent="0.25">
      <c r="CG57" s="20"/>
      <c r="CI57" s="20"/>
      <c r="CJ57" s="20"/>
      <c r="CK57" s="20"/>
      <c r="CQ57" s="110"/>
    </row>
    <row r="58" spans="36:134" ht="18" customHeight="1" x14ac:dyDescent="0.25">
      <c r="CG58" s="20"/>
      <c r="CI58" s="20"/>
      <c r="CJ58" s="20"/>
      <c r="CK58" s="20"/>
      <c r="CQ58" s="110"/>
    </row>
    <row r="59" spans="36:134" ht="18" customHeight="1" x14ac:dyDescent="0.25">
      <c r="CG59" s="20"/>
      <c r="CI59" s="20"/>
      <c r="CJ59" s="20"/>
      <c r="CK59" s="20"/>
      <c r="CQ59" s="110"/>
    </row>
    <row r="60" spans="36:134" ht="18" customHeight="1" x14ac:dyDescent="0.25">
      <c r="CG60" s="20"/>
      <c r="CI60" s="20"/>
      <c r="CJ60" s="20"/>
      <c r="CK60" s="20"/>
      <c r="CQ60" s="110"/>
    </row>
    <row r="61" spans="36:134" ht="18" customHeight="1" x14ac:dyDescent="0.25">
      <c r="CG61" s="20"/>
      <c r="CI61" s="20"/>
      <c r="CJ61" s="20"/>
      <c r="CK61" s="20"/>
      <c r="CQ61" s="110"/>
    </row>
    <row r="62" spans="36:134" ht="18" customHeight="1" x14ac:dyDescent="0.25">
      <c r="CG62" s="20"/>
      <c r="CI62" s="20"/>
      <c r="CJ62" s="20"/>
      <c r="CK62" s="20"/>
      <c r="CQ62" s="110"/>
    </row>
    <row r="63" spans="36:134" ht="18" customHeight="1" x14ac:dyDescent="0.25">
      <c r="CG63" s="20"/>
      <c r="CI63" s="111"/>
      <c r="CK63" s="111"/>
      <c r="CQ63" s="110"/>
    </row>
    <row r="64" spans="36:134" ht="18" customHeight="1" x14ac:dyDescent="0.25">
      <c r="CG64" s="20"/>
      <c r="CQ64" s="110"/>
    </row>
    <row r="65" spans="85:95" ht="18" customHeight="1" x14ac:dyDescent="0.25">
      <c r="CG65" s="20"/>
      <c r="CQ65" s="110"/>
    </row>
    <row r="66" spans="85:95" ht="18" customHeight="1" x14ac:dyDescent="0.25">
      <c r="CG66" s="20"/>
    </row>
    <row r="67" spans="85:95" ht="18" customHeight="1" x14ac:dyDescent="0.25">
      <c r="CG67" s="20"/>
    </row>
    <row r="68" spans="85:95" ht="18" customHeight="1" x14ac:dyDescent="0.25">
      <c r="CG68" s="20"/>
    </row>
    <row r="69" spans="85:95" ht="18" customHeight="1" x14ac:dyDescent="0.25">
      <c r="CG69" s="20"/>
    </row>
    <row r="70" spans="85:95" ht="18" customHeight="1" x14ac:dyDescent="0.25">
      <c r="CG70" s="20"/>
    </row>
    <row r="71" spans="85:95" ht="18" customHeight="1" x14ac:dyDescent="0.25">
      <c r="CG71" s="20"/>
    </row>
    <row r="72" spans="85:95" ht="18" customHeight="1" x14ac:dyDescent="0.25">
      <c r="CG72" s="20"/>
    </row>
    <row r="73" spans="85:95" ht="18" customHeight="1" x14ac:dyDescent="0.25">
      <c r="CG73" s="20"/>
    </row>
    <row r="74" spans="85:95" ht="18" customHeight="1" x14ac:dyDescent="0.25">
      <c r="CG74" s="20"/>
    </row>
    <row r="75" spans="85:95" ht="18" customHeight="1" x14ac:dyDescent="0.25">
      <c r="CG75" s="20"/>
    </row>
    <row r="76" spans="85:95" ht="18" customHeight="1" x14ac:dyDescent="0.25">
      <c r="CG76" s="20"/>
    </row>
    <row r="77" spans="85:95" ht="18" customHeight="1" x14ac:dyDescent="0.25">
      <c r="CG77" s="20"/>
    </row>
    <row r="78" spans="85:95" ht="18" customHeight="1" x14ac:dyDescent="0.25">
      <c r="CG78" s="20"/>
    </row>
    <row r="79" spans="85:95" ht="18" customHeight="1" x14ac:dyDescent="0.25">
      <c r="CG79" s="20"/>
    </row>
    <row r="80" spans="85:95" ht="18" customHeight="1" x14ac:dyDescent="0.25">
      <c r="CG80" s="20"/>
    </row>
    <row r="81" spans="85:85" ht="18" customHeight="1" x14ac:dyDescent="0.25">
      <c r="CG81" s="20"/>
    </row>
    <row r="82" spans="85:85" ht="18" customHeight="1" x14ac:dyDescent="0.25">
      <c r="CG82" s="20"/>
    </row>
    <row r="83" spans="85:85" ht="18" customHeight="1" x14ac:dyDescent="0.25">
      <c r="CG83" s="20"/>
    </row>
    <row r="84" spans="85:85" ht="18" customHeight="1" x14ac:dyDescent="0.25">
      <c r="CG84" s="20"/>
    </row>
    <row r="85" spans="85:85" ht="18" customHeight="1" x14ac:dyDescent="0.25">
      <c r="CG85" s="20"/>
    </row>
    <row r="86" spans="85:85" ht="18" customHeight="1" x14ac:dyDescent="0.25">
      <c r="CG86" s="20"/>
    </row>
    <row r="87" spans="85:85" ht="18" customHeight="1" x14ac:dyDescent="0.25">
      <c r="CG87" s="20"/>
    </row>
    <row r="88" spans="85:85" ht="18" customHeight="1" x14ac:dyDescent="0.25">
      <c r="CG88" s="20"/>
    </row>
    <row r="89" spans="85:85" ht="18" customHeight="1" x14ac:dyDescent="0.25">
      <c r="CG89" s="20"/>
    </row>
    <row r="90" spans="85:85" ht="18" customHeight="1" x14ac:dyDescent="0.25">
      <c r="CG90" s="20"/>
    </row>
    <row r="91" spans="85:85" ht="18" customHeight="1" x14ac:dyDescent="0.25">
      <c r="CG91" s="20"/>
    </row>
    <row r="92" spans="85:85" ht="18" customHeight="1" x14ac:dyDescent="0.25">
      <c r="CG92" s="20"/>
    </row>
    <row r="93" spans="85:85" ht="18" customHeight="1" x14ac:dyDescent="0.25">
      <c r="CG93" s="20"/>
    </row>
    <row r="94" spans="85:85" ht="18" customHeight="1" x14ac:dyDescent="0.25">
      <c r="CG94" s="20"/>
    </row>
    <row r="95" spans="85:85" ht="18" customHeight="1" x14ac:dyDescent="0.25">
      <c r="CG95" s="20"/>
    </row>
    <row r="96" spans="85:85" ht="18" customHeight="1" x14ac:dyDescent="0.25">
      <c r="CG96" s="20"/>
    </row>
    <row r="97" spans="85:85" ht="18" customHeight="1" x14ac:dyDescent="0.25">
      <c r="CG97" s="20"/>
    </row>
    <row r="98" spans="85:85" ht="18" customHeight="1" x14ac:dyDescent="0.25">
      <c r="CG98" s="20"/>
    </row>
    <row r="99" spans="85:85" ht="18" customHeight="1" x14ac:dyDescent="0.25">
      <c r="CG99" s="20"/>
    </row>
    <row r="100" spans="85:85" ht="18" customHeight="1" x14ac:dyDescent="0.25">
      <c r="CG100" s="20"/>
    </row>
    <row r="101" spans="85:85" ht="18" customHeight="1" x14ac:dyDescent="0.25">
      <c r="CG101" s="20"/>
    </row>
    <row r="102" spans="85:85" ht="18" customHeight="1" x14ac:dyDescent="0.25">
      <c r="CG102" s="20"/>
    </row>
    <row r="103" spans="85:85" ht="18" customHeight="1" x14ac:dyDescent="0.25">
      <c r="CG103" s="20"/>
    </row>
    <row r="104" spans="85:85" ht="18" customHeight="1" x14ac:dyDescent="0.25">
      <c r="CG104" s="20"/>
    </row>
    <row r="105" spans="85:85" ht="18" customHeight="1" x14ac:dyDescent="0.25">
      <c r="CG105" s="20"/>
    </row>
    <row r="106" spans="85:85" ht="18" customHeight="1" x14ac:dyDescent="0.25">
      <c r="CG106" s="20"/>
    </row>
    <row r="107" spans="85:85" ht="18" customHeight="1" x14ac:dyDescent="0.25">
      <c r="CG107" s="20"/>
    </row>
    <row r="108" spans="85:85" ht="18" customHeight="1" x14ac:dyDescent="0.25">
      <c r="CG108" s="20"/>
    </row>
    <row r="109" spans="85:85" ht="18" customHeight="1" x14ac:dyDescent="0.25">
      <c r="CG109" s="20"/>
    </row>
    <row r="110" spans="85:85" ht="18" customHeight="1" x14ac:dyDescent="0.25">
      <c r="CG110" s="20"/>
    </row>
    <row r="111" spans="85:85" ht="18" customHeight="1" x14ac:dyDescent="0.25">
      <c r="CG111" s="20"/>
    </row>
    <row r="112" spans="85:85" ht="18" customHeight="1" x14ac:dyDescent="0.25">
      <c r="CG112" s="20"/>
    </row>
    <row r="113" spans="85:85" ht="18" customHeight="1" x14ac:dyDescent="0.25">
      <c r="CG113" s="20"/>
    </row>
    <row r="114" spans="85:85" ht="18" customHeight="1" x14ac:dyDescent="0.25">
      <c r="CG114" s="20"/>
    </row>
    <row r="115" spans="85:85" ht="18" customHeight="1" x14ac:dyDescent="0.25">
      <c r="CG115" s="20"/>
    </row>
    <row r="116" spans="85:85" ht="18" customHeight="1" x14ac:dyDescent="0.25">
      <c r="CG116" s="20"/>
    </row>
    <row r="117" spans="85:85" ht="18" customHeight="1" x14ac:dyDescent="0.25">
      <c r="CG117" s="20"/>
    </row>
    <row r="118" spans="85:85" ht="18" customHeight="1" x14ac:dyDescent="0.25">
      <c r="CG118" s="20"/>
    </row>
    <row r="119" spans="85:85" ht="18" customHeight="1" x14ac:dyDescent="0.25">
      <c r="CG119" s="20"/>
    </row>
    <row r="120" spans="85:85" ht="18" customHeight="1" x14ac:dyDescent="0.25">
      <c r="CG120" s="20"/>
    </row>
    <row r="121" spans="85:85" ht="18" customHeight="1" x14ac:dyDescent="0.25">
      <c r="CG121" s="20"/>
    </row>
    <row r="122" spans="85:85" ht="18" customHeight="1" x14ac:dyDescent="0.25">
      <c r="CG122" s="20"/>
    </row>
    <row r="123" spans="85:85" ht="18" customHeight="1" x14ac:dyDescent="0.25">
      <c r="CG123" s="20"/>
    </row>
    <row r="124" spans="85:85" ht="18" customHeight="1" x14ac:dyDescent="0.25">
      <c r="CG124" s="20"/>
    </row>
    <row r="125" spans="85:85" ht="18" customHeight="1" x14ac:dyDescent="0.25">
      <c r="CG125" s="20"/>
    </row>
    <row r="126" spans="85:85" ht="18" customHeight="1" x14ac:dyDescent="0.25">
      <c r="CG126" s="20"/>
    </row>
    <row r="127" spans="85:85" ht="18" customHeight="1" x14ac:dyDescent="0.25">
      <c r="CG127" s="20"/>
    </row>
    <row r="128" spans="85:85" ht="18" customHeight="1" x14ac:dyDescent="0.25">
      <c r="CG128" s="20"/>
    </row>
    <row r="129" spans="85:85" ht="18" customHeight="1" x14ac:dyDescent="0.25">
      <c r="CG129" s="20"/>
    </row>
    <row r="130" spans="85:85" ht="18" customHeight="1" x14ac:dyDescent="0.25">
      <c r="CG130" s="20"/>
    </row>
    <row r="131" spans="85:85" ht="18" customHeight="1" x14ac:dyDescent="0.25">
      <c r="CG131" s="20"/>
    </row>
    <row r="132" spans="85:85" ht="18" customHeight="1" x14ac:dyDescent="0.25">
      <c r="CG132" s="20"/>
    </row>
    <row r="133" spans="85:85" ht="18" customHeight="1" x14ac:dyDescent="0.25">
      <c r="CG133" s="20"/>
    </row>
    <row r="134" spans="85:85" ht="18" customHeight="1" x14ac:dyDescent="0.25">
      <c r="CG134" s="20"/>
    </row>
    <row r="135" spans="85:85" ht="18" customHeight="1" x14ac:dyDescent="0.25">
      <c r="CG135" s="20"/>
    </row>
    <row r="136" spans="85:85" ht="18" customHeight="1" x14ac:dyDescent="0.25">
      <c r="CG136" s="20"/>
    </row>
    <row r="137" spans="85:85" ht="18" customHeight="1" x14ac:dyDescent="0.25">
      <c r="CG137" s="20"/>
    </row>
    <row r="138" spans="85:85" ht="18" customHeight="1" x14ac:dyDescent="0.25">
      <c r="CG138" s="20"/>
    </row>
  </sheetData>
  <phoneticPr fontId="5" type="noConversion"/>
  <pageMargins left="0.21999999999999997" right="0.25" top="0.6100000000000001" bottom="0.5" header="0.5" footer="0.5"/>
  <pageSetup paperSize="9" scale="41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7"/>
    <pageSetUpPr fitToPage="1"/>
  </sheetPr>
  <dimension ref="A1:AW65"/>
  <sheetViews>
    <sheetView tabSelected="1" zoomScale="70" zoomScaleNormal="70" workbookViewId="0">
      <pane xSplit="9" ySplit="7" topLeftCell="AB48" activePane="bottomRight" state="frozen"/>
      <selection pane="topRight" activeCell="J1" sqref="J1"/>
      <selection pane="bottomLeft" activeCell="A8" sqref="A8"/>
      <selection pane="bottomRight" activeCell="L31" sqref="L31"/>
    </sheetView>
  </sheetViews>
  <sheetFormatPr defaultColWidth="12.42578125" defaultRowHeight="18" customHeight="1" x14ac:dyDescent="0.25"/>
  <cols>
    <col min="1" max="1" width="3.42578125" style="20" customWidth="1"/>
    <col min="2" max="2" width="6.28515625" style="20" customWidth="1"/>
    <col min="3" max="3" width="3.7109375" style="20" customWidth="1"/>
    <col min="4" max="4" width="5.7109375" style="20" customWidth="1"/>
    <col min="5" max="5" width="17.42578125" style="20" customWidth="1"/>
    <col min="6" max="6" width="15.42578125" style="20" customWidth="1"/>
    <col min="7" max="7" width="0.140625" style="24" customWidth="1"/>
    <col min="8" max="9" width="3.28515625" style="24" customWidth="1"/>
    <col min="10" max="10" width="21.42578125" style="24" customWidth="1"/>
    <col min="11" max="11" width="3.28515625" style="24" customWidth="1"/>
    <col min="12" max="12" width="21.42578125" style="24" customWidth="1"/>
    <col min="13" max="14" width="3.28515625" style="24" customWidth="1"/>
    <col min="15" max="15" width="21.42578125" style="24" customWidth="1"/>
    <col min="16" max="17" width="3.28515625" style="24" customWidth="1"/>
    <col min="18" max="18" width="21.42578125" style="24" customWidth="1"/>
    <col min="19" max="20" width="3.28515625" style="24" customWidth="1"/>
    <col min="21" max="21" width="21.42578125" style="24" customWidth="1"/>
    <col min="22" max="23" width="3.28515625" style="24" customWidth="1"/>
    <col min="24" max="24" width="21.42578125" style="24" customWidth="1"/>
    <col min="25" max="26" width="3.28515625" style="24" customWidth="1"/>
    <col min="27" max="27" width="21.42578125" style="24" customWidth="1"/>
    <col min="28" max="29" width="3.28515625" style="24" customWidth="1"/>
    <col min="30" max="30" width="21.42578125" style="24" customWidth="1"/>
    <col min="31" max="32" width="3.28515625" style="24" customWidth="1"/>
    <col min="33" max="33" width="21.42578125" style="24" customWidth="1"/>
    <col min="34" max="35" width="3.28515625" style="24" customWidth="1"/>
    <col min="36" max="36" width="21.42578125" style="24" customWidth="1"/>
    <col min="37" max="38" width="3.28515625" style="24" customWidth="1"/>
    <col min="39" max="39" width="21.42578125" style="24" customWidth="1"/>
    <col min="40" max="41" width="3.28515625" style="24" customWidth="1"/>
    <col min="42" max="42" width="21.42578125" style="24" customWidth="1"/>
    <col min="43" max="44" width="3.28515625" style="24" customWidth="1"/>
    <col min="45" max="45" width="21.42578125" style="24" hidden="1" customWidth="1"/>
    <col min="46" max="46" width="22.42578125" style="24" customWidth="1"/>
    <col min="47" max="47" width="5.42578125" style="45" customWidth="1"/>
    <col min="48" max="48" width="22.42578125" style="24" hidden="1" customWidth="1"/>
    <col min="49" max="49" width="22.42578125" style="24" customWidth="1"/>
    <col min="50" max="52" width="18.7109375" style="20" customWidth="1"/>
    <col min="53" max="71" width="12.42578125" style="20" customWidth="1"/>
    <col min="72" max="16384" width="12.42578125" style="20"/>
  </cols>
  <sheetData>
    <row r="1" spans="1:49" x14ac:dyDescent="0.25">
      <c r="A1" s="2" t="str">
        <f>'Front Page'!G19</f>
        <v>SA STEM CELL TRANSPLANTATION SOCIETY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146"/>
      <c r="AV1" s="21"/>
      <c r="AW1" s="21"/>
    </row>
    <row r="2" spans="1:49" x14ac:dyDescent="0.25">
      <c r="A2" s="2" t="s">
        <v>92</v>
      </c>
      <c r="G2" s="21"/>
      <c r="H2" s="21"/>
      <c r="I2" s="21"/>
      <c r="J2" s="170">
        <f>'Front Page'!J23</f>
        <v>44620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146"/>
      <c r="AV2" s="21"/>
      <c r="AW2" s="21"/>
    </row>
    <row r="3" spans="1:49" x14ac:dyDescent="0.25">
      <c r="A3" s="2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146"/>
      <c r="AV3" s="21"/>
      <c r="AW3" s="21"/>
    </row>
    <row r="4" spans="1:49" ht="18.75" customHeight="1" x14ac:dyDescent="0.25">
      <c r="A4" s="22"/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146"/>
      <c r="AV4" s="23"/>
      <c r="AW4" s="146"/>
    </row>
    <row r="5" spans="1:49" ht="9" customHeight="1" x14ac:dyDescent="0.25">
      <c r="G5" s="21"/>
      <c r="H5" s="21"/>
      <c r="I5" s="21"/>
      <c r="J5" s="15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</row>
    <row r="6" spans="1:49" ht="23.1" customHeight="1" x14ac:dyDescent="0.25">
      <c r="F6" s="25" t="s">
        <v>68</v>
      </c>
      <c r="G6" s="26"/>
      <c r="H6" s="26"/>
      <c r="I6" s="26"/>
      <c r="J6" s="152" t="s">
        <v>69</v>
      </c>
      <c r="K6" s="26"/>
      <c r="L6" s="26" t="s">
        <v>156</v>
      </c>
      <c r="M6" s="26"/>
      <c r="N6" s="26"/>
      <c r="O6" s="26" t="s">
        <v>153</v>
      </c>
      <c r="P6" s="26"/>
      <c r="Q6" s="26"/>
      <c r="R6" s="26" t="s">
        <v>151</v>
      </c>
      <c r="S6" s="26"/>
      <c r="T6" s="26"/>
      <c r="U6" s="26" t="s">
        <v>147</v>
      </c>
      <c r="V6" s="26"/>
      <c r="W6" s="26"/>
      <c r="X6" s="26" t="s">
        <v>86</v>
      </c>
      <c r="Y6" s="26"/>
      <c r="Z6" s="26"/>
      <c r="AA6" s="26" t="s">
        <v>84</v>
      </c>
      <c r="AB6" s="26"/>
      <c r="AC6" s="26"/>
      <c r="AD6" s="26" t="s">
        <v>80</v>
      </c>
      <c r="AE6" s="26"/>
      <c r="AF6" s="26"/>
      <c r="AG6" s="26" t="s">
        <v>78</v>
      </c>
      <c r="AH6" s="26"/>
      <c r="AI6" s="26"/>
      <c r="AJ6" s="26" t="s">
        <v>73</v>
      </c>
      <c r="AK6" s="26"/>
      <c r="AL6" s="26"/>
      <c r="AM6" s="26" t="s">
        <v>70</v>
      </c>
      <c r="AN6" s="26"/>
      <c r="AO6" s="26"/>
      <c r="AP6" s="26" t="s">
        <v>72</v>
      </c>
      <c r="AQ6" s="26"/>
      <c r="AR6" s="26"/>
      <c r="AS6" s="26" t="s">
        <v>44</v>
      </c>
      <c r="AT6" s="113" t="s">
        <v>93</v>
      </c>
      <c r="AU6" s="149"/>
      <c r="AV6" s="113" t="s">
        <v>66</v>
      </c>
      <c r="AW6" s="113"/>
    </row>
    <row r="7" spans="1:49" ht="23.1" customHeight="1" x14ac:dyDescent="0.25">
      <c r="F7" s="25"/>
      <c r="G7" s="27"/>
      <c r="H7" s="27"/>
      <c r="I7" s="27"/>
      <c r="J7" s="152" t="s">
        <v>85</v>
      </c>
      <c r="K7" s="27"/>
      <c r="L7" s="26" t="s">
        <v>45</v>
      </c>
      <c r="M7" s="27"/>
      <c r="N7" s="27"/>
      <c r="O7" s="26" t="s">
        <v>45</v>
      </c>
      <c r="P7" s="27"/>
      <c r="Q7" s="27"/>
      <c r="R7" s="26" t="s">
        <v>45</v>
      </c>
      <c r="S7" s="27"/>
      <c r="T7" s="27"/>
      <c r="U7" s="26" t="s">
        <v>45</v>
      </c>
      <c r="V7" s="27"/>
      <c r="W7" s="27"/>
      <c r="X7" s="26" t="s">
        <v>45</v>
      </c>
      <c r="Y7" s="27"/>
      <c r="Z7" s="27"/>
      <c r="AA7" s="26" t="s">
        <v>45</v>
      </c>
      <c r="AB7" s="27"/>
      <c r="AC7" s="27"/>
      <c r="AD7" s="26" t="s">
        <v>45</v>
      </c>
      <c r="AE7" s="27"/>
      <c r="AF7" s="27"/>
      <c r="AG7" s="26" t="s">
        <v>45</v>
      </c>
      <c r="AH7" s="27"/>
      <c r="AI7" s="27"/>
      <c r="AJ7" s="26" t="s">
        <v>45</v>
      </c>
      <c r="AK7" s="27"/>
      <c r="AL7" s="27"/>
      <c r="AM7" s="26" t="s">
        <v>45</v>
      </c>
      <c r="AN7" s="27"/>
      <c r="AO7" s="27"/>
      <c r="AP7" s="26" t="s">
        <v>45</v>
      </c>
      <c r="AQ7" s="27"/>
      <c r="AR7" s="27"/>
      <c r="AS7" s="26" t="s">
        <v>46</v>
      </c>
      <c r="AT7" s="26" t="s">
        <v>45</v>
      </c>
      <c r="AU7" s="147"/>
      <c r="AV7" s="26" t="s">
        <v>45</v>
      </c>
      <c r="AW7" s="26"/>
    </row>
    <row r="8" spans="1:49" ht="23.1" customHeight="1" x14ac:dyDescent="0.25">
      <c r="F8" s="25"/>
      <c r="G8" s="27"/>
      <c r="H8" s="27"/>
      <c r="I8" s="27"/>
      <c r="J8" s="153" t="s">
        <v>0</v>
      </c>
      <c r="K8" s="27"/>
      <c r="L8" s="128" t="s">
        <v>0</v>
      </c>
      <c r="M8" s="27"/>
      <c r="N8" s="27"/>
      <c r="O8" s="128" t="s">
        <v>0</v>
      </c>
      <c r="P8" s="27"/>
      <c r="Q8" s="27"/>
      <c r="R8" s="128" t="s">
        <v>0</v>
      </c>
      <c r="S8" s="27"/>
      <c r="T8" s="27"/>
      <c r="U8" s="128" t="s">
        <v>0</v>
      </c>
      <c r="V8" s="27"/>
      <c r="W8" s="27"/>
      <c r="X8" s="128" t="s">
        <v>0</v>
      </c>
      <c r="Y8" s="27"/>
      <c r="Z8" s="27"/>
      <c r="AA8" s="128" t="s">
        <v>0</v>
      </c>
      <c r="AB8" s="27"/>
      <c r="AC8" s="27"/>
      <c r="AD8" s="128" t="s">
        <v>0</v>
      </c>
      <c r="AE8" s="27"/>
      <c r="AF8" s="27"/>
      <c r="AG8" s="128" t="s">
        <v>0</v>
      </c>
      <c r="AH8" s="27"/>
      <c r="AI8" s="27"/>
      <c r="AJ8" s="128" t="s">
        <v>0</v>
      </c>
      <c r="AK8" s="27"/>
      <c r="AL8" s="27"/>
      <c r="AM8" s="128" t="s">
        <v>0</v>
      </c>
      <c r="AN8" s="27"/>
      <c r="AO8" s="27"/>
      <c r="AP8" s="128" t="s">
        <v>0</v>
      </c>
      <c r="AQ8" s="27"/>
      <c r="AR8" s="27"/>
      <c r="AS8" s="26" t="s">
        <v>0</v>
      </c>
      <c r="AT8" s="128" t="s">
        <v>0</v>
      </c>
      <c r="AU8" s="147"/>
      <c r="AV8" s="128" t="s">
        <v>0</v>
      </c>
      <c r="AW8" s="147"/>
    </row>
    <row r="9" spans="1:49" ht="23.1" customHeight="1" x14ac:dyDescent="0.25">
      <c r="F9" s="25"/>
      <c r="G9" s="26"/>
      <c r="H9" s="26"/>
      <c r="I9" s="26"/>
      <c r="J9" s="152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147"/>
      <c r="AV9" s="26"/>
      <c r="AW9" s="26"/>
    </row>
    <row r="10" spans="1:49" ht="23.1" customHeight="1" x14ac:dyDescent="0.25">
      <c r="F10" s="25"/>
      <c r="G10" s="26"/>
      <c r="H10" s="26"/>
      <c r="I10" s="26"/>
      <c r="J10" s="152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147"/>
      <c r="AV10" s="26"/>
      <c r="AW10" s="26"/>
    </row>
    <row r="11" spans="1:49" ht="24.75" customHeight="1" x14ac:dyDescent="0.25">
      <c r="A11" s="2" t="s">
        <v>49</v>
      </c>
      <c r="F11" s="28"/>
      <c r="G11" s="20"/>
      <c r="H11" s="20"/>
      <c r="I11" s="20"/>
      <c r="J11" s="154">
        <f>AVERAGE(L11,O11)</f>
        <v>60250</v>
      </c>
      <c r="K11" s="20"/>
      <c r="L11" s="20">
        <v>58750</v>
      </c>
      <c r="M11" s="20"/>
      <c r="N11" s="20"/>
      <c r="O11" s="20">
        <v>61750</v>
      </c>
      <c r="P11" s="20"/>
      <c r="Q11" s="20"/>
      <c r="R11" s="20">
        <v>60750</v>
      </c>
      <c r="S11" s="20"/>
      <c r="T11" s="20"/>
      <c r="U11" s="20">
        <v>60000</v>
      </c>
      <c r="V11" s="20"/>
      <c r="W11" s="20"/>
      <c r="X11" s="20">
        <v>2900</v>
      </c>
      <c r="Y11" s="20"/>
      <c r="Z11" s="20"/>
      <c r="AA11" s="20">
        <v>37000</v>
      </c>
      <c r="AB11" s="20"/>
      <c r="AC11" s="20"/>
      <c r="AD11" s="20">
        <v>22100</v>
      </c>
      <c r="AE11" s="20"/>
      <c r="AF11" s="20"/>
      <c r="AG11" s="20">
        <v>300</v>
      </c>
      <c r="AH11" s="20"/>
      <c r="AI11" s="20"/>
      <c r="AJ11" s="20">
        <v>24700</v>
      </c>
      <c r="AK11" s="20"/>
      <c r="AL11" s="20"/>
      <c r="AM11" s="20">
        <v>3300</v>
      </c>
      <c r="AN11" s="20"/>
      <c r="AO11" s="20"/>
      <c r="AP11" s="20">
        <v>36400</v>
      </c>
      <c r="AQ11" s="20"/>
      <c r="AR11" s="20"/>
      <c r="AS11" s="20" t="e">
        <f>AS21</f>
        <v>#REF!</v>
      </c>
      <c r="AT11" s="20">
        <v>0</v>
      </c>
      <c r="AU11" s="30"/>
      <c r="AV11" s="20">
        <f>SUM(AV13:AV18)</f>
        <v>162300</v>
      </c>
      <c r="AW11" s="20"/>
    </row>
    <row r="12" spans="1:49" ht="7.5" customHeight="1" thickBot="1" x14ac:dyDescent="0.3">
      <c r="B12" s="29" t="s">
        <v>1</v>
      </c>
      <c r="F12" s="30"/>
      <c r="G12" s="31"/>
      <c r="H12" s="31"/>
      <c r="I12" s="31"/>
      <c r="J12" s="155"/>
      <c r="K12" s="31"/>
      <c r="L12" s="33"/>
      <c r="M12" s="31"/>
      <c r="N12" s="31"/>
      <c r="O12" s="33"/>
      <c r="P12" s="31"/>
      <c r="Q12" s="31"/>
      <c r="R12" s="33"/>
      <c r="S12" s="31"/>
      <c r="T12" s="31"/>
      <c r="U12" s="33"/>
      <c r="V12" s="31"/>
      <c r="W12" s="31"/>
      <c r="X12" s="33"/>
      <c r="Y12" s="31"/>
      <c r="Z12" s="31"/>
      <c r="AA12" s="33"/>
      <c r="AB12" s="31"/>
      <c r="AC12" s="31"/>
      <c r="AD12" s="33"/>
      <c r="AE12" s="31"/>
      <c r="AF12" s="31"/>
      <c r="AG12" s="33"/>
      <c r="AH12" s="31"/>
      <c r="AI12" s="31"/>
      <c r="AJ12" s="33"/>
      <c r="AK12" s="31"/>
      <c r="AL12" s="31"/>
      <c r="AM12" s="33"/>
      <c r="AN12" s="31"/>
      <c r="AO12" s="31"/>
      <c r="AP12" s="33"/>
      <c r="AQ12" s="31"/>
      <c r="AR12" s="31"/>
      <c r="AS12" s="32"/>
      <c r="AT12" s="33"/>
      <c r="AU12" s="33"/>
      <c r="AV12" s="33"/>
      <c r="AW12" s="33"/>
    </row>
    <row r="13" spans="1:49" ht="23.1" hidden="1" customHeight="1" thickTop="1" x14ac:dyDescent="0.25">
      <c r="B13" s="102" t="s">
        <v>50</v>
      </c>
      <c r="G13" s="34"/>
      <c r="H13" s="34"/>
      <c r="I13" s="34"/>
      <c r="J13" s="156">
        <f>(AM13+AP13+AT13+AJ13+AG13)/5</f>
        <v>4100</v>
      </c>
      <c r="K13" s="34"/>
      <c r="L13" s="129">
        <v>0</v>
      </c>
      <c r="M13" s="34"/>
      <c r="N13" s="34"/>
      <c r="O13" s="129">
        <v>0</v>
      </c>
      <c r="P13" s="34"/>
      <c r="Q13" s="34"/>
      <c r="R13" s="129">
        <v>0</v>
      </c>
      <c r="S13" s="34"/>
      <c r="T13" s="34"/>
      <c r="U13" s="129">
        <v>0</v>
      </c>
      <c r="V13" s="34"/>
      <c r="W13" s="34"/>
      <c r="X13" s="129">
        <v>0</v>
      </c>
      <c r="Y13" s="34"/>
      <c r="Z13" s="34"/>
      <c r="AA13" s="129">
        <v>0</v>
      </c>
      <c r="AB13" s="34"/>
      <c r="AC13" s="34"/>
      <c r="AD13" s="129">
        <v>0</v>
      </c>
      <c r="AE13" s="34"/>
      <c r="AF13" s="34"/>
      <c r="AG13" s="129">
        <v>6900</v>
      </c>
      <c r="AH13" s="34"/>
      <c r="AI13" s="34"/>
      <c r="AJ13" s="129">
        <v>4470</v>
      </c>
      <c r="AK13" s="34"/>
      <c r="AL13" s="34"/>
      <c r="AM13" s="129">
        <v>4330</v>
      </c>
      <c r="AN13" s="34"/>
      <c r="AO13" s="34"/>
      <c r="AP13" s="129">
        <v>2600</v>
      </c>
      <c r="AQ13" s="34"/>
      <c r="AR13" s="34"/>
      <c r="AS13" s="34"/>
      <c r="AT13" s="129">
        <f>1150+1050</f>
        <v>2200</v>
      </c>
      <c r="AU13" s="31"/>
      <c r="AV13" s="129">
        <v>2250</v>
      </c>
      <c r="AW13" s="31"/>
    </row>
    <row r="14" spans="1:49" ht="23.1" hidden="1" customHeight="1" x14ac:dyDescent="0.25">
      <c r="B14" s="102" t="s">
        <v>51</v>
      </c>
      <c r="G14" s="34"/>
      <c r="H14" s="34"/>
      <c r="I14" s="34"/>
      <c r="J14" s="157">
        <f>(AM14+AP14+AT14+AJ14+AG14)/5</f>
        <v>64030</v>
      </c>
      <c r="K14" s="34"/>
      <c r="L14" s="130">
        <v>0</v>
      </c>
      <c r="M14" s="34"/>
      <c r="N14" s="34"/>
      <c r="O14" s="130">
        <v>0</v>
      </c>
      <c r="P14" s="34"/>
      <c r="Q14" s="34"/>
      <c r="R14" s="130">
        <v>0</v>
      </c>
      <c r="S14" s="34"/>
      <c r="T14" s="34"/>
      <c r="U14" s="130">
        <v>0</v>
      </c>
      <c r="V14" s="34"/>
      <c r="W14" s="34"/>
      <c r="X14" s="130">
        <v>0</v>
      </c>
      <c r="Y14" s="34"/>
      <c r="Z14" s="34"/>
      <c r="AA14" s="130">
        <v>0</v>
      </c>
      <c r="AB14" s="34"/>
      <c r="AC14" s="34"/>
      <c r="AD14" s="130">
        <v>0</v>
      </c>
      <c r="AE14" s="34"/>
      <c r="AF14" s="34"/>
      <c r="AG14" s="130">
        <v>68900</v>
      </c>
      <c r="AH14" s="34"/>
      <c r="AI14" s="34"/>
      <c r="AJ14" s="130">
        <v>69550</v>
      </c>
      <c r="AK14" s="34"/>
      <c r="AL14" s="34"/>
      <c r="AM14" s="130">
        <v>60800</v>
      </c>
      <c r="AN14" s="34"/>
      <c r="AO14" s="34"/>
      <c r="AP14" s="130">
        <v>65650</v>
      </c>
      <c r="AQ14" s="34"/>
      <c r="AR14" s="34"/>
      <c r="AS14" s="34"/>
      <c r="AT14" s="130">
        <f>53950+1300</f>
        <v>55250</v>
      </c>
      <c r="AU14" s="31"/>
      <c r="AV14" s="130">
        <v>125450</v>
      </c>
      <c r="AW14" s="31"/>
    </row>
    <row r="15" spans="1:49" ht="23.1" hidden="1" customHeight="1" x14ac:dyDescent="0.25">
      <c r="B15" s="102" t="s">
        <v>52</v>
      </c>
      <c r="G15" s="34"/>
      <c r="H15" s="34"/>
      <c r="I15" s="34"/>
      <c r="J15" s="157">
        <f>(AM15+AP15+AT15+AJ15+AG15)/5</f>
        <v>10314</v>
      </c>
      <c r="K15" s="34"/>
      <c r="L15" s="130">
        <v>0</v>
      </c>
      <c r="M15" s="34"/>
      <c r="N15" s="34"/>
      <c r="O15" s="130">
        <v>0</v>
      </c>
      <c r="P15" s="34"/>
      <c r="Q15" s="34"/>
      <c r="R15" s="130">
        <v>0</v>
      </c>
      <c r="S15" s="34"/>
      <c r="T15" s="34"/>
      <c r="U15" s="130">
        <v>0</v>
      </c>
      <c r="V15" s="34"/>
      <c r="W15" s="34"/>
      <c r="X15" s="130">
        <v>0</v>
      </c>
      <c r="Y15" s="34"/>
      <c r="Z15" s="34"/>
      <c r="AA15" s="130">
        <v>0</v>
      </c>
      <c r="AB15" s="34"/>
      <c r="AC15" s="34"/>
      <c r="AD15" s="130">
        <v>0</v>
      </c>
      <c r="AE15" s="34"/>
      <c r="AF15" s="34"/>
      <c r="AG15" s="130">
        <v>10950</v>
      </c>
      <c r="AH15" s="34"/>
      <c r="AI15" s="34"/>
      <c r="AJ15" s="130">
        <v>11890</v>
      </c>
      <c r="AK15" s="34"/>
      <c r="AL15" s="34"/>
      <c r="AM15" s="130">
        <v>9600</v>
      </c>
      <c r="AN15" s="34"/>
      <c r="AO15" s="34"/>
      <c r="AP15" s="130">
        <v>9400</v>
      </c>
      <c r="AQ15" s="34"/>
      <c r="AR15" s="34"/>
      <c r="AS15" s="34"/>
      <c r="AT15" s="130">
        <f>10050-320</f>
        <v>9730</v>
      </c>
      <c r="AU15" s="31"/>
      <c r="AV15" s="130">
        <v>15400</v>
      </c>
      <c r="AW15" s="31"/>
    </row>
    <row r="16" spans="1:49" ht="23.1" hidden="1" customHeight="1" x14ac:dyDescent="0.25">
      <c r="B16" s="102" t="s">
        <v>53</v>
      </c>
      <c r="G16" s="34"/>
      <c r="H16" s="34"/>
      <c r="I16" s="34"/>
      <c r="J16" s="157">
        <f>(AM16+AP16+AT16+AJ16+AG16)/5</f>
        <v>9406</v>
      </c>
      <c r="K16" s="34"/>
      <c r="L16" s="130">
        <v>0</v>
      </c>
      <c r="M16" s="34"/>
      <c r="N16" s="34"/>
      <c r="O16" s="130">
        <v>0</v>
      </c>
      <c r="P16" s="34"/>
      <c r="Q16" s="34"/>
      <c r="R16" s="130">
        <v>0</v>
      </c>
      <c r="S16" s="34"/>
      <c r="T16" s="34"/>
      <c r="U16" s="130">
        <v>0</v>
      </c>
      <c r="V16" s="34"/>
      <c r="W16" s="34"/>
      <c r="X16" s="130">
        <v>0</v>
      </c>
      <c r="Y16" s="34"/>
      <c r="Z16" s="34"/>
      <c r="AA16" s="130">
        <v>0</v>
      </c>
      <c r="AB16" s="34"/>
      <c r="AC16" s="34"/>
      <c r="AD16" s="130">
        <v>0</v>
      </c>
      <c r="AE16" s="34"/>
      <c r="AF16" s="34"/>
      <c r="AG16" s="130">
        <v>11490</v>
      </c>
      <c r="AH16" s="34"/>
      <c r="AI16" s="34"/>
      <c r="AJ16" s="130">
        <v>9860</v>
      </c>
      <c r="AK16" s="34"/>
      <c r="AL16" s="34"/>
      <c r="AM16" s="130">
        <v>8310</v>
      </c>
      <c r="AN16" s="34"/>
      <c r="AO16" s="34"/>
      <c r="AP16" s="130">
        <v>10710</v>
      </c>
      <c r="AQ16" s="34"/>
      <c r="AR16" s="34"/>
      <c r="AS16" s="34"/>
      <c r="AT16" s="130">
        <f>6890-230</f>
        <v>6660</v>
      </c>
      <c r="AU16" s="31"/>
      <c r="AV16" s="130">
        <v>19200</v>
      </c>
      <c r="AW16" s="31"/>
    </row>
    <row r="17" spans="1:49" ht="23.1" hidden="1" customHeight="1" x14ac:dyDescent="0.25">
      <c r="B17" s="102" t="s">
        <v>71</v>
      </c>
      <c r="G17" s="34"/>
      <c r="H17" s="34"/>
      <c r="I17" s="34"/>
      <c r="J17" s="157">
        <f>(AM17+AP17+AT17+AJ17+AG17)/5</f>
        <v>354</v>
      </c>
      <c r="K17" s="34"/>
      <c r="L17" s="130">
        <v>0</v>
      </c>
      <c r="M17" s="34"/>
      <c r="N17" s="34"/>
      <c r="O17" s="130">
        <v>0</v>
      </c>
      <c r="P17" s="34"/>
      <c r="Q17" s="34"/>
      <c r="R17" s="130">
        <v>0</v>
      </c>
      <c r="S17" s="34"/>
      <c r="T17" s="34"/>
      <c r="U17" s="130">
        <v>0</v>
      </c>
      <c r="V17" s="34"/>
      <c r="W17" s="34"/>
      <c r="X17" s="130">
        <v>0</v>
      </c>
      <c r="Y17" s="34"/>
      <c r="Z17" s="34"/>
      <c r="AA17" s="130">
        <v>0</v>
      </c>
      <c r="AB17" s="34"/>
      <c r="AC17" s="34"/>
      <c r="AD17" s="130">
        <v>0</v>
      </c>
      <c r="AE17" s="34"/>
      <c r="AF17" s="34"/>
      <c r="AG17" s="130">
        <f>250+770</f>
        <v>1020</v>
      </c>
      <c r="AH17" s="34"/>
      <c r="AI17" s="34"/>
      <c r="AJ17" s="130">
        <v>300</v>
      </c>
      <c r="AK17" s="34"/>
      <c r="AL17" s="34"/>
      <c r="AM17" s="130">
        <v>200</v>
      </c>
      <c r="AN17" s="34"/>
      <c r="AO17" s="34"/>
      <c r="AP17" s="130">
        <v>100</v>
      </c>
      <c r="AQ17" s="34"/>
      <c r="AR17" s="34"/>
      <c r="AS17" s="34"/>
      <c r="AT17" s="130">
        <v>150</v>
      </c>
      <c r="AU17" s="31"/>
      <c r="AV17" s="130"/>
      <c r="AW17" s="31"/>
    </row>
    <row r="18" spans="1:49" ht="9.75" hidden="1" customHeight="1" x14ac:dyDescent="0.25">
      <c r="B18" s="102"/>
      <c r="G18" s="34"/>
      <c r="H18" s="34"/>
      <c r="I18" s="34"/>
      <c r="J18" s="158"/>
      <c r="K18" s="34"/>
      <c r="L18" s="131"/>
      <c r="M18" s="34"/>
      <c r="N18" s="34"/>
      <c r="O18" s="131"/>
      <c r="P18" s="34"/>
      <c r="Q18" s="34"/>
      <c r="R18" s="131"/>
      <c r="S18" s="34"/>
      <c r="T18" s="34"/>
      <c r="U18" s="131"/>
      <c r="V18" s="34"/>
      <c r="W18" s="34"/>
      <c r="X18" s="131"/>
      <c r="Y18" s="34"/>
      <c r="Z18" s="34"/>
      <c r="AA18" s="131"/>
      <c r="AB18" s="34"/>
      <c r="AC18" s="34"/>
      <c r="AD18" s="131"/>
      <c r="AE18" s="34"/>
      <c r="AF18" s="34"/>
      <c r="AG18" s="131"/>
      <c r="AH18" s="34"/>
      <c r="AI18" s="34"/>
      <c r="AJ18" s="131"/>
      <c r="AK18" s="34"/>
      <c r="AL18" s="34"/>
      <c r="AM18" s="131"/>
      <c r="AN18" s="34"/>
      <c r="AO18" s="34"/>
      <c r="AP18" s="131"/>
      <c r="AQ18" s="34"/>
      <c r="AR18" s="34"/>
      <c r="AS18" s="34"/>
      <c r="AT18" s="131"/>
      <c r="AU18" s="31"/>
      <c r="AV18" s="131"/>
      <c r="AW18" s="31"/>
    </row>
    <row r="19" spans="1:49" ht="22.5" customHeight="1" thickTop="1" x14ac:dyDescent="0.25">
      <c r="G19" s="34"/>
      <c r="H19" s="34"/>
      <c r="I19" s="34"/>
      <c r="J19" s="159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1"/>
      <c r="AV19" s="34"/>
      <c r="AW19" s="34"/>
    </row>
    <row r="20" spans="1:49" ht="23.1" customHeight="1" x14ac:dyDescent="0.25">
      <c r="G20" s="34"/>
      <c r="H20" s="34"/>
      <c r="I20" s="34"/>
      <c r="J20" s="159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1"/>
      <c r="AV20" s="34"/>
      <c r="AW20" s="34"/>
    </row>
    <row r="21" spans="1:49" ht="24.75" customHeight="1" x14ac:dyDescent="0.25">
      <c r="A21" s="2" t="s">
        <v>54</v>
      </c>
      <c r="G21" s="35"/>
      <c r="H21" s="35"/>
      <c r="I21" s="35"/>
      <c r="J21" s="160">
        <f>SUM(J23:J27)</f>
        <v>62281.5</v>
      </c>
      <c r="K21" s="35"/>
      <c r="L21" s="115">
        <f>SUM(L23:L27)</f>
        <v>0</v>
      </c>
      <c r="M21" s="35"/>
      <c r="N21" s="35"/>
      <c r="O21" s="115">
        <f>SUM(O23:O27)</f>
        <v>124563</v>
      </c>
      <c r="P21" s="35"/>
      <c r="Q21" s="35"/>
      <c r="R21" s="115">
        <f>SUM(R23:R27)</f>
        <v>186198.11</v>
      </c>
      <c r="S21" s="35"/>
      <c r="T21" s="35"/>
      <c r="U21" s="115">
        <f>SUM(U23:U27)</f>
        <v>373268.33999999997</v>
      </c>
      <c r="V21" s="35"/>
      <c r="W21" s="35"/>
      <c r="X21" s="115">
        <f>SUM(X23:X27)</f>
        <v>257848.21</v>
      </c>
      <c r="Y21" s="35"/>
      <c r="Z21" s="35"/>
      <c r="AA21" s="115">
        <f>SUM(AA23:AA27)</f>
        <v>48960.800000000003</v>
      </c>
      <c r="AB21" s="35"/>
      <c r="AC21" s="35"/>
      <c r="AD21" s="115">
        <f>SUM(AD23:AD27)</f>
        <v>-127780.19</v>
      </c>
      <c r="AE21" s="35"/>
      <c r="AF21" s="35"/>
      <c r="AG21" s="115">
        <f>SUM(AG23:AG27)</f>
        <v>0</v>
      </c>
      <c r="AH21" s="35"/>
      <c r="AI21" s="35"/>
      <c r="AJ21" s="115">
        <f>SUM(AJ23:AJ27)</f>
        <v>0</v>
      </c>
      <c r="AK21" s="35"/>
      <c r="AL21" s="35"/>
      <c r="AM21" s="115">
        <f>SUM(AM23:AM27)</f>
        <v>2000</v>
      </c>
      <c r="AN21" s="35"/>
      <c r="AO21" s="35"/>
      <c r="AP21" s="115">
        <f>SUM(AP23:AP27)</f>
        <v>19851.29</v>
      </c>
      <c r="AQ21" s="35"/>
      <c r="AR21" s="35"/>
      <c r="AS21" s="115" t="e">
        <f>SUM(AS26:AS26)</f>
        <v>#REF!</v>
      </c>
      <c r="AT21" s="115">
        <f>SUM(AT23:AT27)</f>
        <v>133968.9</v>
      </c>
      <c r="AU21" s="150"/>
      <c r="AV21" s="115">
        <f>SUM(AV23:AV27)</f>
        <v>438168.16</v>
      </c>
      <c r="AW21" s="115"/>
    </row>
    <row r="22" spans="1:49" ht="8.1" customHeight="1" x14ac:dyDescent="0.25">
      <c r="G22" s="35"/>
      <c r="H22" s="35"/>
      <c r="I22" s="35"/>
      <c r="J22" s="151"/>
      <c r="K22" s="35"/>
      <c r="L22" s="21"/>
      <c r="M22" s="35"/>
      <c r="N22" s="35"/>
      <c r="O22" s="21"/>
      <c r="P22" s="35"/>
      <c r="Q22" s="35"/>
      <c r="R22" s="21"/>
      <c r="S22" s="35"/>
      <c r="T22" s="35"/>
      <c r="U22" s="21"/>
      <c r="V22" s="35"/>
      <c r="W22" s="35"/>
      <c r="X22" s="21"/>
      <c r="Y22" s="35"/>
      <c r="Z22" s="35"/>
      <c r="AA22" s="21"/>
      <c r="AB22" s="35"/>
      <c r="AC22" s="35"/>
      <c r="AD22" s="21"/>
      <c r="AE22" s="35"/>
      <c r="AF22" s="35"/>
      <c r="AG22" s="21"/>
      <c r="AH22" s="35"/>
      <c r="AI22" s="35"/>
      <c r="AJ22" s="21"/>
      <c r="AK22" s="35"/>
      <c r="AL22" s="35"/>
      <c r="AM22" s="21"/>
      <c r="AN22" s="35"/>
      <c r="AO22" s="35"/>
      <c r="AP22" s="21"/>
      <c r="AQ22" s="35"/>
      <c r="AR22" s="35"/>
      <c r="AS22" s="35"/>
      <c r="AT22" s="146"/>
      <c r="AU22" s="146"/>
      <c r="AV22" s="21"/>
      <c r="AW22" s="21"/>
    </row>
    <row r="23" spans="1:49" ht="8.1" customHeight="1" x14ac:dyDescent="0.25">
      <c r="G23" s="33"/>
      <c r="H23" s="33"/>
      <c r="I23" s="33"/>
      <c r="J23" s="161"/>
      <c r="K23" s="33"/>
      <c r="L23" s="37"/>
      <c r="M23" s="33"/>
      <c r="N23" s="33"/>
      <c r="O23" s="37"/>
      <c r="P23" s="33"/>
      <c r="Q23" s="33"/>
      <c r="R23" s="37"/>
      <c r="S23" s="33"/>
      <c r="T23" s="33"/>
      <c r="U23" s="37"/>
      <c r="V23" s="33"/>
      <c r="W23" s="33"/>
      <c r="X23" s="180"/>
      <c r="Y23" s="138"/>
      <c r="Z23" s="138"/>
      <c r="AA23" s="180"/>
      <c r="AB23" s="138"/>
      <c r="AC23" s="138"/>
      <c r="AD23" s="180"/>
      <c r="AE23" s="33"/>
      <c r="AF23" s="33"/>
      <c r="AG23" s="37"/>
      <c r="AH23" s="33"/>
      <c r="AI23" s="33"/>
      <c r="AJ23" s="37"/>
      <c r="AK23" s="33"/>
      <c r="AL23" s="33"/>
      <c r="AM23" s="37"/>
      <c r="AN23" s="33"/>
      <c r="AO23" s="33"/>
      <c r="AP23" s="37"/>
      <c r="AQ23" s="33"/>
      <c r="AR23" s="33"/>
      <c r="AS23" s="38"/>
      <c r="AT23" s="37"/>
      <c r="AU23" s="33"/>
      <c r="AV23" s="37"/>
      <c r="AW23" s="33"/>
    </row>
    <row r="24" spans="1:49" ht="22.5" customHeight="1" x14ac:dyDescent="0.25">
      <c r="B24" s="20" t="s">
        <v>67</v>
      </c>
      <c r="G24" s="33"/>
      <c r="H24" s="33"/>
      <c r="I24" s="33"/>
      <c r="J24" s="168">
        <f>AVERAGE(R24,O24)</f>
        <v>0</v>
      </c>
      <c r="K24" s="33"/>
      <c r="L24" s="173">
        <v>0</v>
      </c>
      <c r="M24" s="33"/>
      <c r="N24" s="33"/>
      <c r="O24" s="173">
        <v>0</v>
      </c>
      <c r="P24" s="33"/>
      <c r="Q24" s="33"/>
      <c r="R24" s="173">
        <v>0</v>
      </c>
      <c r="S24" s="33"/>
      <c r="T24" s="33"/>
      <c r="U24" s="181">
        <v>212168.34</v>
      </c>
      <c r="V24" s="33"/>
      <c r="W24" s="33"/>
      <c r="X24" s="181">
        <v>48788.21</v>
      </c>
      <c r="Y24" s="138"/>
      <c r="Z24" s="138"/>
      <c r="AA24" s="181"/>
      <c r="AB24" s="138"/>
      <c r="AC24" s="138"/>
      <c r="AD24" s="181">
        <v>42240.21</v>
      </c>
      <c r="AE24" s="33"/>
      <c r="AF24" s="33"/>
      <c r="AG24" s="39">
        <v>0</v>
      </c>
      <c r="AH24" s="33"/>
      <c r="AI24" s="33"/>
      <c r="AJ24" s="39">
        <v>0</v>
      </c>
      <c r="AK24" s="33"/>
      <c r="AL24" s="33"/>
      <c r="AM24" s="39">
        <v>0</v>
      </c>
      <c r="AN24" s="33"/>
      <c r="AO24" s="33"/>
      <c r="AP24" s="39">
        <v>0</v>
      </c>
      <c r="AQ24" s="33"/>
      <c r="AR24" s="33"/>
      <c r="AS24" s="40"/>
      <c r="AT24" s="39">
        <v>134868.9</v>
      </c>
      <c r="AU24" s="33"/>
      <c r="AV24" s="39">
        <v>400000</v>
      </c>
      <c r="AW24" s="33"/>
    </row>
    <row r="25" spans="1:49" ht="22.5" customHeight="1" x14ac:dyDescent="0.25">
      <c r="B25" s="20" t="s">
        <v>94</v>
      </c>
      <c r="G25" s="33"/>
      <c r="H25" s="33"/>
      <c r="I25" s="33"/>
      <c r="J25" s="168">
        <f>AVERAGE(L25,O25)</f>
        <v>62281.5</v>
      </c>
      <c r="K25" s="33"/>
      <c r="L25" s="39">
        <v>0</v>
      </c>
      <c r="M25" s="33"/>
      <c r="N25" s="33"/>
      <c r="O25" s="39">
        <v>124563</v>
      </c>
      <c r="P25" s="33"/>
      <c r="Q25" s="33"/>
      <c r="R25" s="39">
        <v>186198.11</v>
      </c>
      <c r="S25" s="33"/>
      <c r="T25" s="33"/>
      <c r="U25" s="39">
        <v>161100</v>
      </c>
      <c r="V25" s="33"/>
      <c r="W25" s="33"/>
      <c r="X25" s="39">
        <v>209060</v>
      </c>
      <c r="Y25" s="33"/>
      <c r="Z25" s="33"/>
      <c r="AA25" s="39">
        <v>48960.800000000003</v>
      </c>
      <c r="AB25" s="33"/>
      <c r="AC25" s="33"/>
      <c r="AD25" s="39">
        <v>-170020.4</v>
      </c>
      <c r="AE25" s="33"/>
      <c r="AF25" s="33"/>
      <c r="AG25" s="39">
        <v>0</v>
      </c>
      <c r="AH25" s="33"/>
      <c r="AI25" s="33"/>
      <c r="AJ25" s="39">
        <v>0</v>
      </c>
      <c r="AK25" s="33"/>
      <c r="AL25" s="33"/>
      <c r="AM25" s="39">
        <v>2000</v>
      </c>
      <c r="AN25" s="33"/>
      <c r="AO25" s="33"/>
      <c r="AP25" s="39">
        <v>19851.29</v>
      </c>
      <c r="AQ25" s="33"/>
      <c r="AR25" s="33"/>
      <c r="AS25" s="40"/>
      <c r="AT25" s="39">
        <v>-900</v>
      </c>
      <c r="AU25" s="33"/>
      <c r="AV25" s="39"/>
      <c r="AW25" s="33"/>
    </row>
    <row r="26" spans="1:49" ht="23.1" customHeight="1" x14ac:dyDescent="0.25">
      <c r="B26" s="20" t="s">
        <v>77</v>
      </c>
      <c r="G26" s="33"/>
      <c r="H26" s="33"/>
      <c r="I26" s="33"/>
      <c r="J26" s="168">
        <f>AVERAGE(R26,O26)</f>
        <v>0</v>
      </c>
      <c r="K26" s="33"/>
      <c r="L26" s="39">
        <v>0</v>
      </c>
      <c r="M26" s="33"/>
      <c r="N26" s="33"/>
      <c r="O26" s="39">
        <v>0</v>
      </c>
      <c r="P26" s="33"/>
      <c r="Q26" s="33"/>
      <c r="R26" s="39">
        <v>0</v>
      </c>
      <c r="S26" s="33"/>
      <c r="T26" s="33"/>
      <c r="U26" s="39">
        <v>0</v>
      </c>
      <c r="V26" s="33"/>
      <c r="W26" s="33"/>
      <c r="X26" s="39">
        <v>0</v>
      </c>
      <c r="Y26" s="33"/>
      <c r="Z26" s="33"/>
      <c r="AA26" s="39">
        <v>0</v>
      </c>
      <c r="AB26" s="33"/>
      <c r="AC26" s="33"/>
      <c r="AD26" s="39">
        <v>0</v>
      </c>
      <c r="AE26" s="33"/>
      <c r="AF26" s="33"/>
      <c r="AG26" s="39">
        <v>0</v>
      </c>
      <c r="AH26" s="33"/>
      <c r="AI26" s="33"/>
      <c r="AJ26" s="39">
        <v>0</v>
      </c>
      <c r="AK26" s="33"/>
      <c r="AL26" s="33"/>
      <c r="AM26" s="39">
        <v>0</v>
      </c>
      <c r="AN26" s="33"/>
      <c r="AO26" s="33"/>
      <c r="AP26" s="39">
        <v>0</v>
      </c>
      <c r="AQ26" s="33"/>
      <c r="AR26" s="33"/>
      <c r="AS26" s="40" t="e">
        <f>-#REF!-#REF!-#REF!-#REF!-#REF!-#REF!-#REF!</f>
        <v>#REF!</v>
      </c>
      <c r="AT26" s="39"/>
      <c r="AU26" s="33"/>
      <c r="AV26" s="39">
        <f>9808.56+26288.08+2071.52</f>
        <v>38168.159999999996</v>
      </c>
      <c r="AW26" s="33"/>
    </row>
    <row r="27" spans="1:49" ht="8.1" customHeight="1" x14ac:dyDescent="0.25">
      <c r="G27" s="33"/>
      <c r="H27" s="33"/>
      <c r="I27" s="33"/>
      <c r="J27" s="162"/>
      <c r="K27" s="33"/>
      <c r="L27" s="41"/>
      <c r="M27" s="33"/>
      <c r="N27" s="33"/>
      <c r="O27" s="41"/>
      <c r="P27" s="33"/>
      <c r="Q27" s="33"/>
      <c r="R27" s="41"/>
      <c r="S27" s="33"/>
      <c r="T27" s="33"/>
      <c r="U27" s="41"/>
      <c r="V27" s="33"/>
      <c r="W27" s="33"/>
      <c r="X27" s="41"/>
      <c r="Y27" s="33"/>
      <c r="Z27" s="33"/>
      <c r="AA27" s="41"/>
      <c r="AB27" s="33"/>
      <c r="AC27" s="33"/>
      <c r="AD27" s="41"/>
      <c r="AE27" s="33"/>
      <c r="AF27" s="33"/>
      <c r="AG27" s="41"/>
      <c r="AH27" s="33"/>
      <c r="AI27" s="33"/>
      <c r="AJ27" s="41"/>
      <c r="AK27" s="33"/>
      <c r="AL27" s="33"/>
      <c r="AM27" s="41"/>
      <c r="AN27" s="33"/>
      <c r="AO27" s="33"/>
      <c r="AP27" s="41"/>
      <c r="AQ27" s="33"/>
      <c r="AR27" s="33"/>
      <c r="AS27" s="42"/>
      <c r="AT27" s="41"/>
      <c r="AU27" s="33"/>
      <c r="AV27" s="41"/>
      <c r="AW27" s="33"/>
    </row>
    <row r="28" spans="1:49" ht="8.1" customHeight="1" x14ac:dyDescent="0.25">
      <c r="G28" s="33"/>
      <c r="H28" s="33"/>
      <c r="I28" s="33"/>
      <c r="J28" s="155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</row>
    <row r="29" spans="1:49" ht="18.75" customHeight="1" x14ac:dyDescent="0.25">
      <c r="G29" s="33"/>
      <c r="H29" s="33"/>
      <c r="I29" s="33"/>
      <c r="J29" s="155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</row>
    <row r="30" spans="1:49" ht="18.75" customHeight="1" x14ac:dyDescent="0.25">
      <c r="G30" s="33"/>
      <c r="H30" s="33"/>
      <c r="I30" s="33"/>
      <c r="J30" s="155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</row>
    <row r="31" spans="1:49" ht="24.75" customHeight="1" x14ac:dyDescent="0.25">
      <c r="A31" s="2" t="s">
        <v>47</v>
      </c>
      <c r="G31" s="35"/>
      <c r="H31" s="35"/>
      <c r="I31" s="35"/>
      <c r="J31" s="163">
        <f>SUM(J33:J50)</f>
        <v>65359.01</v>
      </c>
      <c r="K31" s="35"/>
      <c r="L31" s="35">
        <f>SUM(L33:L50)</f>
        <v>19449.7</v>
      </c>
      <c r="M31" s="35"/>
      <c r="N31" s="35"/>
      <c r="O31" s="35">
        <f>SUM(O33:O50)</f>
        <v>111268.32</v>
      </c>
      <c r="P31" s="35"/>
      <c r="Q31" s="35"/>
      <c r="R31" s="35">
        <f>SUM(R33:R50)</f>
        <v>266414.66000000003</v>
      </c>
      <c r="S31" s="35"/>
      <c r="T31" s="35"/>
      <c r="U31" s="35">
        <f>SUM(U33:U50)</f>
        <v>119112.15999999999</v>
      </c>
      <c r="V31" s="35"/>
      <c r="W31" s="35"/>
      <c r="X31" s="35">
        <f>SUM(X33:X50)</f>
        <v>19688.55</v>
      </c>
      <c r="Y31" s="35"/>
      <c r="Z31" s="35"/>
      <c r="AA31" s="35">
        <f>SUM(AA33:AA50)</f>
        <v>4187.75</v>
      </c>
      <c r="AB31" s="35"/>
      <c r="AC31" s="35"/>
      <c r="AD31" s="35">
        <f>SUM(AD33:AD50)</f>
        <v>15000.75</v>
      </c>
      <c r="AE31" s="35"/>
      <c r="AF31" s="35"/>
      <c r="AG31" s="35">
        <f>SUM(AG33:AG50)</f>
        <v>1129.4000000000001</v>
      </c>
      <c r="AH31" s="35"/>
      <c r="AI31" s="35"/>
      <c r="AJ31" s="35">
        <f>SUM(AJ33:AJ50)</f>
        <v>1080.92</v>
      </c>
      <c r="AK31" s="35"/>
      <c r="AL31" s="35"/>
      <c r="AM31" s="35">
        <f>SUM(AM33:AM50)</f>
        <v>964</v>
      </c>
      <c r="AN31" s="35"/>
      <c r="AO31" s="35"/>
      <c r="AP31" s="35">
        <f>SUM(AP33:AP50)</f>
        <v>5951.88</v>
      </c>
      <c r="AQ31" s="35"/>
      <c r="AR31" s="35"/>
      <c r="AS31" s="35" t="e">
        <f>SUM(AS33:AS49)</f>
        <v>#REF!</v>
      </c>
      <c r="AT31" s="35">
        <f>SUM(AT33:AT50)</f>
        <v>776</v>
      </c>
      <c r="AU31" s="33"/>
      <c r="AV31" s="35">
        <f>SUM(AV33:AV50)</f>
        <v>143822.49</v>
      </c>
      <c r="AW31" s="35"/>
    </row>
    <row r="32" spans="1:49" ht="8.1" customHeight="1" x14ac:dyDescent="0.25">
      <c r="G32" s="35"/>
      <c r="H32" s="35"/>
      <c r="I32" s="35"/>
      <c r="J32" s="163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3"/>
      <c r="AV32" s="35"/>
      <c r="AW32" s="35"/>
    </row>
    <row r="33" spans="2:49" ht="8.1" customHeight="1" x14ac:dyDescent="0.25">
      <c r="G33" s="33"/>
      <c r="H33" s="33"/>
      <c r="I33" s="33"/>
      <c r="J33" s="161"/>
      <c r="K33" s="33"/>
      <c r="L33" s="37"/>
      <c r="M33" s="33"/>
      <c r="N33" s="33"/>
      <c r="O33" s="37"/>
      <c r="P33" s="33"/>
      <c r="Q33" s="33"/>
      <c r="R33" s="37"/>
      <c r="S33" s="33"/>
      <c r="T33" s="33"/>
      <c r="U33" s="37"/>
      <c r="V33" s="33"/>
      <c r="W33" s="33"/>
      <c r="X33" s="37"/>
      <c r="Y33" s="33"/>
      <c r="Z33" s="33"/>
      <c r="AA33" s="37"/>
      <c r="AB33" s="33"/>
      <c r="AC33" s="33"/>
      <c r="AD33" s="37"/>
      <c r="AE33" s="33"/>
      <c r="AF33" s="33"/>
      <c r="AG33" s="37"/>
      <c r="AH33" s="33"/>
      <c r="AI33" s="33"/>
      <c r="AJ33" s="37"/>
      <c r="AK33" s="33"/>
      <c r="AL33" s="33"/>
      <c r="AM33" s="37"/>
      <c r="AN33" s="33"/>
      <c r="AO33" s="33"/>
      <c r="AP33" s="37"/>
      <c r="AQ33" s="33"/>
      <c r="AR33" s="33"/>
      <c r="AS33" s="118"/>
      <c r="AT33" s="37"/>
      <c r="AU33" s="33"/>
      <c r="AV33" s="37"/>
      <c r="AW33" s="33"/>
    </row>
    <row r="34" spans="2:49" ht="23.1" customHeight="1" x14ac:dyDescent="0.25">
      <c r="B34" s="20" t="s">
        <v>95</v>
      </c>
      <c r="G34" s="33"/>
      <c r="H34" s="33"/>
      <c r="I34" s="33"/>
      <c r="J34" s="154">
        <f t="shared" ref="J34:J49" si="0">AVERAGE(L34,O34)</f>
        <v>0</v>
      </c>
      <c r="K34" s="33"/>
      <c r="L34" s="39">
        <v>0</v>
      </c>
      <c r="M34" s="33"/>
      <c r="N34" s="33"/>
      <c r="O34" s="39">
        <v>0</v>
      </c>
      <c r="P34" s="33"/>
      <c r="Q34" s="33"/>
      <c r="R34" s="39">
        <v>0</v>
      </c>
      <c r="S34" s="33"/>
      <c r="T34" s="33"/>
      <c r="U34" s="39">
        <v>25210.59</v>
      </c>
      <c r="V34" s="33"/>
      <c r="W34" s="33"/>
      <c r="X34" s="39">
        <v>0</v>
      </c>
      <c r="Y34" s="33"/>
      <c r="Z34" s="33"/>
      <c r="AA34" s="39">
        <v>0</v>
      </c>
      <c r="AB34" s="33"/>
      <c r="AC34" s="33"/>
      <c r="AD34" s="39">
        <v>0</v>
      </c>
      <c r="AE34" s="33"/>
      <c r="AF34" s="33"/>
      <c r="AG34" s="39">
        <v>0</v>
      </c>
      <c r="AH34" s="33"/>
      <c r="AI34" s="33"/>
      <c r="AJ34" s="39">
        <v>0</v>
      </c>
      <c r="AK34" s="33"/>
      <c r="AL34" s="33"/>
      <c r="AM34" s="39">
        <v>0</v>
      </c>
      <c r="AN34" s="33"/>
      <c r="AO34" s="33"/>
      <c r="AP34" s="39">
        <v>1000</v>
      </c>
      <c r="AQ34" s="33"/>
      <c r="AR34" s="33"/>
      <c r="AS34" s="36"/>
      <c r="AT34" s="39">
        <v>0</v>
      </c>
      <c r="AU34" s="33"/>
      <c r="AV34" s="39"/>
      <c r="AW34" s="33"/>
    </row>
    <row r="35" spans="2:49" ht="23.1" customHeight="1" x14ac:dyDescent="0.25">
      <c r="B35" s="20" t="s">
        <v>79</v>
      </c>
      <c r="G35" s="33"/>
      <c r="H35" s="33"/>
      <c r="I35" s="33"/>
      <c r="J35" s="154">
        <f t="shared" si="0"/>
        <v>8078.75</v>
      </c>
      <c r="K35" s="33"/>
      <c r="L35" s="39">
        <v>6957.5</v>
      </c>
      <c r="M35" s="33"/>
      <c r="N35" s="33"/>
      <c r="O35" s="39">
        <v>9200</v>
      </c>
      <c r="P35" s="33"/>
      <c r="Q35" s="33"/>
      <c r="R35" s="39">
        <v>26160.75</v>
      </c>
      <c r="S35" s="33"/>
      <c r="T35" s="33"/>
      <c r="U35" s="39">
        <v>0</v>
      </c>
      <c r="V35" s="33"/>
      <c r="W35" s="33"/>
      <c r="X35" s="39">
        <v>0</v>
      </c>
      <c r="Y35" s="33"/>
      <c r="Z35" s="33"/>
      <c r="AA35" s="39">
        <v>0</v>
      </c>
      <c r="AB35" s="33"/>
      <c r="AC35" s="33"/>
      <c r="AD35" s="39">
        <v>0</v>
      </c>
      <c r="AE35" s="33"/>
      <c r="AF35" s="33"/>
      <c r="AG35" s="39">
        <v>0</v>
      </c>
      <c r="AH35" s="33"/>
      <c r="AI35" s="33"/>
      <c r="AJ35" s="39">
        <v>0</v>
      </c>
      <c r="AK35" s="33"/>
      <c r="AL35" s="33"/>
      <c r="AM35" s="39">
        <v>0</v>
      </c>
      <c r="AN35" s="33"/>
      <c r="AO35" s="33"/>
      <c r="AP35" s="39">
        <v>0</v>
      </c>
      <c r="AQ35" s="33"/>
      <c r="AR35" s="33"/>
      <c r="AS35" s="36"/>
      <c r="AT35" s="39">
        <v>0</v>
      </c>
      <c r="AU35" s="33"/>
      <c r="AV35" s="39"/>
      <c r="AW35" s="33"/>
    </row>
    <row r="36" spans="2:49" ht="23.1" customHeight="1" x14ac:dyDescent="0.25">
      <c r="B36" s="20" t="s">
        <v>87</v>
      </c>
      <c r="G36" s="33"/>
      <c r="H36" s="33"/>
      <c r="I36" s="33"/>
      <c r="J36" s="154">
        <f t="shared" si="0"/>
        <v>5500</v>
      </c>
      <c r="K36" s="33"/>
      <c r="L36" s="39">
        <v>11000</v>
      </c>
      <c r="M36" s="33"/>
      <c r="N36" s="33"/>
      <c r="O36" s="39">
        <v>0</v>
      </c>
      <c r="P36" s="33"/>
      <c r="Q36" s="33"/>
      <c r="R36" s="39">
        <v>15000</v>
      </c>
      <c r="S36" s="33"/>
      <c r="T36" s="33"/>
      <c r="U36" s="39">
        <v>0</v>
      </c>
      <c r="V36" s="33"/>
      <c r="W36" s="33"/>
      <c r="X36" s="39">
        <v>0</v>
      </c>
      <c r="Y36" s="33"/>
      <c r="Z36" s="33"/>
      <c r="AA36" s="39">
        <v>0</v>
      </c>
      <c r="AB36" s="33"/>
      <c r="AC36" s="33"/>
      <c r="AD36" s="39">
        <v>0</v>
      </c>
      <c r="AE36" s="33"/>
      <c r="AF36" s="33"/>
      <c r="AG36" s="39">
        <v>0</v>
      </c>
      <c r="AH36" s="33"/>
      <c r="AI36" s="33"/>
      <c r="AJ36" s="39">
        <v>0</v>
      </c>
      <c r="AK36" s="33"/>
      <c r="AL36" s="33"/>
      <c r="AM36" s="39">
        <v>0</v>
      </c>
      <c r="AN36" s="33"/>
      <c r="AO36" s="33"/>
      <c r="AP36" s="39">
        <v>0</v>
      </c>
      <c r="AQ36" s="33"/>
      <c r="AR36" s="33"/>
      <c r="AS36" s="36"/>
      <c r="AT36" s="39">
        <v>0</v>
      </c>
      <c r="AU36" s="33"/>
      <c r="AV36" s="39"/>
      <c r="AW36" s="33"/>
    </row>
    <row r="37" spans="2:49" ht="23.1" customHeight="1" x14ac:dyDescent="0.25">
      <c r="B37" s="20" t="s">
        <v>83</v>
      </c>
      <c r="G37" s="33"/>
      <c r="H37" s="33"/>
      <c r="I37" s="33"/>
      <c r="J37" s="154">
        <f t="shared" si="0"/>
        <v>0</v>
      </c>
      <c r="K37" s="33"/>
      <c r="L37" s="39">
        <v>0</v>
      </c>
      <c r="M37" s="33"/>
      <c r="N37" s="33"/>
      <c r="O37" s="39">
        <v>0</v>
      </c>
      <c r="P37" s="33"/>
      <c r="Q37" s="33"/>
      <c r="R37" s="39">
        <v>0</v>
      </c>
      <c r="S37" s="33"/>
      <c r="T37" s="33"/>
      <c r="U37" s="39">
        <v>0</v>
      </c>
      <c r="V37" s="33"/>
      <c r="W37" s="33"/>
      <c r="X37" s="39">
        <v>0</v>
      </c>
      <c r="Y37" s="33"/>
      <c r="Z37" s="33"/>
      <c r="AA37" s="39">
        <v>0</v>
      </c>
      <c r="AB37" s="33"/>
      <c r="AC37" s="33"/>
      <c r="AD37" s="39">
        <v>0</v>
      </c>
      <c r="AE37" s="33"/>
      <c r="AF37" s="33"/>
      <c r="AG37" s="39">
        <v>0</v>
      </c>
      <c r="AH37" s="33"/>
      <c r="AI37" s="33"/>
      <c r="AJ37" s="39">
        <v>0</v>
      </c>
      <c r="AK37" s="33"/>
      <c r="AL37" s="33"/>
      <c r="AM37" s="39">
        <v>0</v>
      </c>
      <c r="AN37" s="33"/>
      <c r="AO37" s="33"/>
      <c r="AP37" s="39">
        <v>0</v>
      </c>
      <c r="AQ37" s="33"/>
      <c r="AR37" s="33"/>
      <c r="AS37" s="36"/>
      <c r="AT37" s="39">
        <v>0</v>
      </c>
      <c r="AU37" s="33"/>
      <c r="AV37" s="39"/>
      <c r="AW37" s="33"/>
    </row>
    <row r="38" spans="2:49" ht="23.1" customHeight="1" x14ac:dyDescent="0.25">
      <c r="B38" s="20" t="s">
        <v>81</v>
      </c>
      <c r="G38" s="33"/>
      <c r="H38" s="33"/>
      <c r="I38" s="33"/>
      <c r="J38" s="154">
        <f t="shared" si="0"/>
        <v>27750</v>
      </c>
      <c r="K38" s="33"/>
      <c r="L38" s="39">
        <v>0</v>
      </c>
      <c r="M38" s="33"/>
      <c r="N38" s="33"/>
      <c r="O38" s="39">
        <v>55500</v>
      </c>
      <c r="P38" s="33"/>
      <c r="Q38" s="33"/>
      <c r="R38" s="39">
        <v>0</v>
      </c>
      <c r="S38" s="33"/>
      <c r="T38" s="33"/>
      <c r="U38" s="39">
        <v>0</v>
      </c>
      <c r="V38" s="33"/>
      <c r="W38" s="33"/>
      <c r="X38" s="39">
        <v>0</v>
      </c>
      <c r="Y38" s="33"/>
      <c r="Z38" s="33"/>
      <c r="AA38" s="39">
        <v>0</v>
      </c>
      <c r="AB38" s="33"/>
      <c r="AC38" s="33"/>
      <c r="AD38" s="39">
        <v>0</v>
      </c>
      <c r="AE38" s="33"/>
      <c r="AF38" s="33"/>
      <c r="AG38" s="39">
        <v>0</v>
      </c>
      <c r="AH38" s="33"/>
      <c r="AI38" s="33"/>
      <c r="AJ38" s="39">
        <v>0</v>
      </c>
      <c r="AK38" s="33"/>
      <c r="AL38" s="33"/>
      <c r="AM38" s="39">
        <v>0</v>
      </c>
      <c r="AN38" s="33"/>
      <c r="AO38" s="33"/>
      <c r="AP38" s="39">
        <v>0</v>
      </c>
      <c r="AQ38" s="33"/>
      <c r="AR38" s="33"/>
      <c r="AS38" s="36"/>
      <c r="AT38" s="39">
        <v>0</v>
      </c>
      <c r="AU38" s="33"/>
      <c r="AV38" s="39"/>
      <c r="AW38" s="33"/>
    </row>
    <row r="39" spans="2:49" ht="23.1" customHeight="1" x14ac:dyDescent="0.25">
      <c r="B39" s="20" t="s">
        <v>48</v>
      </c>
      <c r="G39" s="33"/>
      <c r="H39" s="33"/>
      <c r="I39" s="33"/>
      <c r="J39" s="154">
        <f t="shared" si="0"/>
        <v>1955.2600000000002</v>
      </c>
      <c r="K39" s="33"/>
      <c r="L39" s="39">
        <v>1492.2</v>
      </c>
      <c r="M39" s="33"/>
      <c r="N39" s="33"/>
      <c r="O39" s="39">
        <v>2418.3200000000002</v>
      </c>
      <c r="P39" s="33"/>
      <c r="Q39" s="33"/>
      <c r="R39" s="39">
        <v>2025.8</v>
      </c>
      <c r="S39" s="33"/>
      <c r="T39" s="33"/>
      <c r="U39" s="39">
        <v>4152.74</v>
      </c>
      <c r="V39" s="33"/>
      <c r="W39" s="33"/>
      <c r="X39" s="39">
        <v>1741.55</v>
      </c>
      <c r="Y39" s="33"/>
      <c r="Z39" s="33"/>
      <c r="AA39" s="39">
        <v>1780.75</v>
      </c>
      <c r="AB39" s="33"/>
      <c r="AC39" s="33"/>
      <c r="AD39" s="39">
        <v>1389.15</v>
      </c>
      <c r="AE39" s="33"/>
      <c r="AF39" s="33"/>
      <c r="AG39" s="39">
        <v>1129.4000000000001</v>
      </c>
      <c r="AH39" s="33"/>
      <c r="AI39" s="33"/>
      <c r="AJ39" s="39">
        <v>1080.92</v>
      </c>
      <c r="AK39" s="33"/>
      <c r="AL39" s="33"/>
      <c r="AM39" s="39">
        <v>964</v>
      </c>
      <c r="AN39" s="33"/>
      <c r="AO39" s="33"/>
      <c r="AP39" s="39">
        <v>951.88</v>
      </c>
      <c r="AQ39" s="33"/>
      <c r="AR39" s="33"/>
      <c r="AS39" s="40"/>
      <c r="AT39" s="39">
        <v>776</v>
      </c>
      <c r="AU39" s="33"/>
      <c r="AV39" s="39">
        <v>1380.96</v>
      </c>
      <c r="AW39" s="33"/>
    </row>
    <row r="40" spans="2:49" ht="23.1" customHeight="1" x14ac:dyDescent="0.25">
      <c r="B40" s="20" t="s">
        <v>82</v>
      </c>
      <c r="G40" s="33"/>
      <c r="H40" s="33"/>
      <c r="I40" s="33"/>
      <c r="J40" s="154">
        <f t="shared" si="0"/>
        <v>0</v>
      </c>
      <c r="K40" s="33"/>
      <c r="L40" s="39">
        <v>0</v>
      </c>
      <c r="M40" s="33"/>
      <c r="N40" s="33"/>
      <c r="O40" s="39">
        <v>0</v>
      </c>
      <c r="P40" s="33"/>
      <c r="Q40" s="33"/>
      <c r="R40" s="39">
        <v>116610</v>
      </c>
      <c r="S40" s="33"/>
      <c r="T40" s="33"/>
      <c r="U40" s="39">
        <v>18743</v>
      </c>
      <c r="V40" s="33"/>
      <c r="W40" s="33"/>
      <c r="X40" s="39">
        <v>2947</v>
      </c>
      <c r="Y40" s="33"/>
      <c r="Z40" s="33"/>
      <c r="AA40" s="39">
        <v>2407</v>
      </c>
      <c r="AB40" s="33"/>
      <c r="AC40" s="33"/>
      <c r="AD40" s="39">
        <v>0</v>
      </c>
      <c r="AE40" s="33"/>
      <c r="AF40" s="33"/>
      <c r="AG40" s="39">
        <v>0</v>
      </c>
      <c r="AH40" s="33"/>
      <c r="AI40" s="33"/>
      <c r="AJ40" s="39">
        <v>0</v>
      </c>
      <c r="AK40" s="33"/>
      <c r="AL40" s="33"/>
      <c r="AM40" s="39">
        <v>0</v>
      </c>
      <c r="AN40" s="33"/>
      <c r="AO40" s="33"/>
      <c r="AP40" s="39">
        <v>0</v>
      </c>
      <c r="AQ40" s="33"/>
      <c r="AR40" s="33"/>
      <c r="AS40" s="40"/>
      <c r="AT40" s="39">
        <v>0</v>
      </c>
      <c r="AU40" s="33"/>
      <c r="AV40" s="39">
        <v>2396.4</v>
      </c>
      <c r="AW40" s="33"/>
    </row>
    <row r="41" spans="2:49" ht="23.1" customHeight="1" x14ac:dyDescent="0.25">
      <c r="B41" s="20" t="s">
        <v>111</v>
      </c>
      <c r="G41" s="33"/>
      <c r="H41" s="33"/>
      <c r="I41" s="33"/>
      <c r="J41" s="154">
        <f t="shared" si="0"/>
        <v>0</v>
      </c>
      <c r="K41" s="33"/>
      <c r="L41" s="39">
        <v>0</v>
      </c>
      <c r="M41" s="33"/>
      <c r="N41" s="33"/>
      <c r="O41" s="39">
        <v>0</v>
      </c>
      <c r="P41" s="33"/>
      <c r="Q41" s="33"/>
      <c r="R41" s="39">
        <v>0</v>
      </c>
      <c r="S41" s="33"/>
      <c r="T41" s="33"/>
      <c r="U41" s="39">
        <v>30605.599999999999</v>
      </c>
      <c r="V41" s="33"/>
      <c r="W41" s="33"/>
      <c r="X41" s="39"/>
      <c r="Y41" s="33"/>
      <c r="Z41" s="33"/>
      <c r="AA41" s="39"/>
      <c r="AB41" s="33"/>
      <c r="AC41" s="33"/>
      <c r="AD41" s="39"/>
      <c r="AE41" s="33"/>
      <c r="AF41" s="33"/>
      <c r="AG41" s="39"/>
      <c r="AH41" s="33"/>
      <c r="AI41" s="33"/>
      <c r="AJ41" s="39"/>
      <c r="AK41" s="33"/>
      <c r="AL41" s="33"/>
      <c r="AM41" s="39"/>
      <c r="AN41" s="33"/>
      <c r="AO41" s="33"/>
      <c r="AP41" s="39"/>
      <c r="AQ41" s="33"/>
      <c r="AR41" s="33"/>
      <c r="AS41" s="40"/>
      <c r="AT41" s="39"/>
      <c r="AU41" s="33"/>
      <c r="AV41" s="39"/>
      <c r="AW41" s="33"/>
    </row>
    <row r="42" spans="2:49" ht="23.1" customHeight="1" x14ac:dyDescent="0.25">
      <c r="B42" s="20" t="s">
        <v>55</v>
      </c>
      <c r="G42" s="33"/>
      <c r="H42" s="33"/>
      <c r="I42" s="33"/>
      <c r="J42" s="154">
        <f t="shared" si="0"/>
        <v>0</v>
      </c>
      <c r="K42" s="33"/>
      <c r="L42" s="39">
        <v>0</v>
      </c>
      <c r="M42" s="33"/>
      <c r="N42" s="33"/>
      <c r="O42" s="39">
        <v>0</v>
      </c>
      <c r="P42" s="33"/>
      <c r="Q42" s="33"/>
      <c r="R42" s="39">
        <v>0</v>
      </c>
      <c r="S42" s="33"/>
      <c r="T42" s="33"/>
      <c r="U42" s="39">
        <v>9600</v>
      </c>
      <c r="V42" s="33"/>
      <c r="W42" s="33"/>
      <c r="X42" s="39">
        <v>15000</v>
      </c>
      <c r="Y42" s="33"/>
      <c r="Z42" s="33"/>
      <c r="AA42" s="39">
        <v>0</v>
      </c>
      <c r="AB42" s="33"/>
      <c r="AC42" s="33"/>
      <c r="AD42" s="39">
        <v>0</v>
      </c>
      <c r="AE42" s="33"/>
      <c r="AF42" s="33"/>
      <c r="AG42" s="39">
        <v>0</v>
      </c>
      <c r="AH42" s="33"/>
      <c r="AI42" s="33"/>
      <c r="AJ42" s="39">
        <v>0</v>
      </c>
      <c r="AK42" s="33"/>
      <c r="AL42" s="33"/>
      <c r="AM42" s="39">
        <v>0</v>
      </c>
      <c r="AN42" s="33"/>
      <c r="AO42" s="33"/>
      <c r="AP42" s="39">
        <v>4000</v>
      </c>
      <c r="AQ42" s="33"/>
      <c r="AR42" s="33"/>
      <c r="AS42" s="40" t="e">
        <f>#REF!+#REF!+#REF!+#REF!+#REF!+#REF!+#REF!</f>
        <v>#REF!</v>
      </c>
      <c r="AT42" s="39">
        <v>0</v>
      </c>
      <c r="AU42" s="33"/>
      <c r="AV42" s="39">
        <v>136706</v>
      </c>
      <c r="AW42" s="33"/>
    </row>
    <row r="43" spans="2:49" ht="23.1" customHeight="1" x14ac:dyDescent="0.25">
      <c r="B43" s="20" t="s">
        <v>56</v>
      </c>
      <c r="G43" s="33"/>
      <c r="H43" s="33"/>
      <c r="I43" s="33"/>
      <c r="J43" s="154">
        <f t="shared" si="0"/>
        <v>0</v>
      </c>
      <c r="K43" s="33"/>
      <c r="L43" s="39">
        <v>0</v>
      </c>
      <c r="M43" s="33"/>
      <c r="N43" s="33"/>
      <c r="O43" s="39">
        <v>0</v>
      </c>
      <c r="P43" s="33"/>
      <c r="Q43" s="33"/>
      <c r="R43" s="39">
        <v>0</v>
      </c>
      <c r="S43" s="33"/>
      <c r="T43" s="33"/>
      <c r="U43" s="39">
        <v>7444.4</v>
      </c>
      <c r="V43" s="33"/>
      <c r="W43" s="33"/>
      <c r="X43" s="39">
        <v>0</v>
      </c>
      <c r="Y43" s="33"/>
      <c r="Z43" s="33"/>
      <c r="AA43" s="39">
        <v>0</v>
      </c>
      <c r="AB43" s="33"/>
      <c r="AC43" s="33"/>
      <c r="AD43" s="39">
        <v>0</v>
      </c>
      <c r="AE43" s="33"/>
      <c r="AF43" s="33"/>
      <c r="AG43" s="39">
        <v>0</v>
      </c>
      <c r="AH43" s="33"/>
      <c r="AI43" s="33"/>
      <c r="AJ43" s="39">
        <v>0</v>
      </c>
      <c r="AK43" s="33"/>
      <c r="AL43" s="33"/>
      <c r="AM43" s="39">
        <v>0</v>
      </c>
      <c r="AN43" s="33"/>
      <c r="AO43" s="33"/>
      <c r="AP43" s="39">
        <v>0</v>
      </c>
      <c r="AQ43" s="33"/>
      <c r="AR43" s="33"/>
      <c r="AS43" s="40" t="e">
        <f>#REF!+#REF!+#REF!+#REF!+#REF!+#REF!+#REF!</f>
        <v>#REF!</v>
      </c>
      <c r="AT43" s="39">
        <v>0</v>
      </c>
      <c r="AU43" s="33"/>
      <c r="AV43" s="39">
        <v>0</v>
      </c>
      <c r="AW43" s="33"/>
    </row>
    <row r="44" spans="2:49" ht="23.1" customHeight="1" x14ac:dyDescent="0.25">
      <c r="B44" s="20" t="s">
        <v>155</v>
      </c>
      <c r="G44" s="33"/>
      <c r="H44" s="33"/>
      <c r="I44" s="33"/>
      <c r="J44" s="154">
        <f t="shared" si="0"/>
        <v>21500</v>
      </c>
      <c r="K44" s="33"/>
      <c r="L44" s="39">
        <v>0</v>
      </c>
      <c r="M44" s="33"/>
      <c r="N44" s="33"/>
      <c r="O44" s="39">
        <v>43000</v>
      </c>
      <c r="P44" s="33"/>
      <c r="Q44" s="33"/>
      <c r="R44" s="39">
        <v>0</v>
      </c>
      <c r="S44" s="33"/>
      <c r="T44" s="33"/>
      <c r="U44" s="39"/>
      <c r="V44" s="33"/>
      <c r="W44" s="33"/>
      <c r="X44" s="39"/>
      <c r="Y44" s="33"/>
      <c r="Z44" s="33"/>
      <c r="AA44" s="39"/>
      <c r="AB44" s="33"/>
      <c r="AC44" s="33"/>
      <c r="AD44" s="39"/>
      <c r="AE44" s="33"/>
      <c r="AF44" s="33"/>
      <c r="AG44" s="39"/>
      <c r="AH44" s="33"/>
      <c r="AI44" s="33"/>
      <c r="AJ44" s="39"/>
      <c r="AK44" s="33"/>
      <c r="AL44" s="33"/>
      <c r="AM44" s="39"/>
      <c r="AN44" s="33"/>
      <c r="AO44" s="33"/>
      <c r="AP44" s="39"/>
      <c r="AQ44" s="33"/>
      <c r="AR44" s="33"/>
      <c r="AS44" s="40"/>
      <c r="AT44" s="39"/>
      <c r="AU44" s="33"/>
      <c r="AV44" s="39"/>
      <c r="AW44" s="33"/>
    </row>
    <row r="45" spans="2:49" ht="23.1" customHeight="1" x14ac:dyDescent="0.25">
      <c r="B45" s="20" t="s">
        <v>149</v>
      </c>
      <c r="G45" s="33"/>
      <c r="H45" s="33"/>
      <c r="I45" s="33"/>
      <c r="J45" s="154">
        <f t="shared" si="0"/>
        <v>0</v>
      </c>
      <c r="K45" s="33"/>
      <c r="L45" s="39">
        <v>0</v>
      </c>
      <c r="M45" s="33"/>
      <c r="N45" s="33"/>
      <c r="O45" s="39">
        <v>0</v>
      </c>
      <c r="P45" s="33"/>
      <c r="Q45" s="33"/>
      <c r="R45" s="39">
        <v>105656.71</v>
      </c>
      <c r="S45" s="33"/>
      <c r="T45" s="33"/>
      <c r="U45" s="39">
        <v>0</v>
      </c>
      <c r="V45" s="33"/>
      <c r="W45" s="33"/>
      <c r="X45" s="39"/>
      <c r="Y45" s="33"/>
      <c r="Z45" s="33"/>
      <c r="AA45" s="39"/>
      <c r="AB45" s="33"/>
      <c r="AC45" s="33"/>
      <c r="AD45" s="39"/>
      <c r="AE45" s="33"/>
      <c r="AF45" s="33"/>
      <c r="AG45" s="39"/>
      <c r="AH45" s="33"/>
      <c r="AI45" s="33"/>
      <c r="AJ45" s="39"/>
      <c r="AK45" s="33"/>
      <c r="AL45" s="33"/>
      <c r="AM45" s="39"/>
      <c r="AN45" s="33"/>
      <c r="AO45" s="33"/>
      <c r="AP45" s="39"/>
      <c r="AQ45" s="33"/>
      <c r="AR45" s="33"/>
      <c r="AS45" s="40"/>
      <c r="AT45" s="39"/>
      <c r="AU45" s="33"/>
      <c r="AV45" s="39"/>
      <c r="AW45" s="33"/>
    </row>
    <row r="46" spans="2:49" ht="23.1" customHeight="1" x14ac:dyDescent="0.25">
      <c r="B46" s="20" t="s">
        <v>109</v>
      </c>
      <c r="G46" s="33"/>
      <c r="H46" s="33"/>
      <c r="I46" s="33"/>
      <c r="J46" s="154">
        <f t="shared" si="0"/>
        <v>0</v>
      </c>
      <c r="K46" s="33"/>
      <c r="L46" s="39">
        <v>0</v>
      </c>
      <c r="M46" s="33"/>
      <c r="N46" s="33"/>
      <c r="O46" s="39">
        <v>0</v>
      </c>
      <c r="P46" s="33"/>
      <c r="Q46" s="33"/>
      <c r="R46" s="39">
        <v>0</v>
      </c>
      <c r="S46" s="33"/>
      <c r="T46" s="33"/>
      <c r="U46" s="39">
        <v>2880</v>
      </c>
      <c r="V46" s="33"/>
      <c r="W46" s="33"/>
      <c r="X46" s="39">
        <v>0</v>
      </c>
      <c r="Y46" s="33"/>
      <c r="Z46" s="33"/>
      <c r="AA46" s="39">
        <v>0</v>
      </c>
      <c r="AB46" s="33"/>
      <c r="AC46" s="33"/>
      <c r="AD46" s="39">
        <v>0</v>
      </c>
      <c r="AE46" s="33"/>
      <c r="AF46" s="33"/>
      <c r="AG46" s="39"/>
      <c r="AH46" s="33"/>
      <c r="AI46" s="33"/>
      <c r="AJ46" s="39"/>
      <c r="AK46" s="33"/>
      <c r="AL46" s="33"/>
      <c r="AM46" s="39"/>
      <c r="AN46" s="33"/>
      <c r="AO46" s="33"/>
      <c r="AP46" s="39"/>
      <c r="AQ46" s="33"/>
      <c r="AR46" s="33"/>
      <c r="AS46" s="40"/>
      <c r="AT46" s="39"/>
      <c r="AU46" s="33"/>
      <c r="AV46" s="39"/>
      <c r="AW46" s="33"/>
    </row>
    <row r="47" spans="2:49" ht="23.1" customHeight="1" x14ac:dyDescent="0.25">
      <c r="B47" s="20" t="s">
        <v>74</v>
      </c>
      <c r="G47" s="33"/>
      <c r="H47" s="33"/>
      <c r="I47" s="33"/>
      <c r="J47" s="154">
        <f t="shared" si="0"/>
        <v>0</v>
      </c>
      <c r="K47" s="33"/>
      <c r="L47" s="39">
        <v>0</v>
      </c>
      <c r="M47" s="33"/>
      <c r="N47" s="33"/>
      <c r="O47" s="39">
        <v>0</v>
      </c>
      <c r="P47" s="33"/>
      <c r="Q47" s="33"/>
      <c r="R47" s="39">
        <v>0</v>
      </c>
      <c r="S47" s="33"/>
      <c r="T47" s="33"/>
      <c r="U47" s="39">
        <v>0</v>
      </c>
      <c r="V47" s="33"/>
      <c r="W47" s="33"/>
      <c r="X47" s="39">
        <v>0</v>
      </c>
      <c r="Y47" s="33"/>
      <c r="Z47" s="33"/>
      <c r="AA47" s="39">
        <v>0</v>
      </c>
      <c r="AB47" s="33"/>
      <c r="AC47" s="33"/>
      <c r="AD47" s="39">
        <v>0</v>
      </c>
      <c r="AE47" s="33"/>
      <c r="AF47" s="33"/>
      <c r="AG47" s="39">
        <v>0</v>
      </c>
      <c r="AH47" s="33"/>
      <c r="AI47" s="33"/>
      <c r="AJ47" s="39">
        <v>0</v>
      </c>
      <c r="AK47" s="33"/>
      <c r="AL47" s="33"/>
      <c r="AM47" s="39">
        <v>0</v>
      </c>
      <c r="AN47" s="33"/>
      <c r="AO47" s="33"/>
      <c r="AP47" s="39">
        <v>0</v>
      </c>
      <c r="AQ47" s="33"/>
      <c r="AR47" s="33"/>
      <c r="AS47" s="40"/>
      <c r="AT47" s="39">
        <v>0</v>
      </c>
      <c r="AU47" s="33"/>
      <c r="AV47" s="39"/>
      <c r="AW47" s="33"/>
    </row>
    <row r="48" spans="2:49" ht="23.1" customHeight="1" x14ac:dyDescent="0.25">
      <c r="B48" s="20" t="s">
        <v>150</v>
      </c>
      <c r="G48" s="33"/>
      <c r="H48" s="33"/>
      <c r="I48" s="33"/>
      <c r="J48" s="154">
        <f t="shared" si="0"/>
        <v>575</v>
      </c>
      <c r="K48" s="33"/>
      <c r="L48" s="39">
        <v>0</v>
      </c>
      <c r="M48" s="33"/>
      <c r="N48" s="33"/>
      <c r="O48" s="39">
        <v>1150</v>
      </c>
      <c r="P48" s="33"/>
      <c r="Q48" s="33"/>
      <c r="R48" s="39">
        <v>961.4</v>
      </c>
      <c r="S48" s="33"/>
      <c r="T48" s="33"/>
      <c r="U48" s="39">
        <v>0</v>
      </c>
      <c r="V48" s="33"/>
      <c r="W48" s="33"/>
      <c r="X48" s="39"/>
      <c r="Y48" s="33"/>
      <c r="Z48" s="33"/>
      <c r="AA48" s="39"/>
      <c r="AB48" s="33"/>
      <c r="AC48" s="33"/>
      <c r="AD48" s="39"/>
      <c r="AE48" s="33"/>
      <c r="AF48" s="33"/>
      <c r="AG48" s="39"/>
      <c r="AH48" s="33"/>
      <c r="AI48" s="33"/>
      <c r="AJ48" s="39"/>
      <c r="AK48" s="33"/>
      <c r="AL48" s="33"/>
      <c r="AM48" s="39"/>
      <c r="AN48" s="33"/>
      <c r="AO48" s="33"/>
      <c r="AP48" s="39"/>
      <c r="AQ48" s="33"/>
      <c r="AR48" s="33"/>
      <c r="AS48" s="40"/>
      <c r="AT48" s="39"/>
      <c r="AU48" s="33"/>
      <c r="AV48" s="39"/>
      <c r="AW48" s="33"/>
    </row>
    <row r="49" spans="1:49" ht="23.1" customHeight="1" x14ac:dyDescent="0.25">
      <c r="B49" s="20" t="s">
        <v>57</v>
      </c>
      <c r="G49" s="33"/>
      <c r="H49" s="33"/>
      <c r="I49" s="33"/>
      <c r="J49" s="154">
        <f t="shared" si="0"/>
        <v>0</v>
      </c>
      <c r="K49" s="33"/>
      <c r="L49" s="39">
        <v>0</v>
      </c>
      <c r="M49" s="33"/>
      <c r="N49" s="33"/>
      <c r="O49" s="39">
        <v>0</v>
      </c>
      <c r="P49" s="33"/>
      <c r="Q49" s="33"/>
      <c r="R49" s="39">
        <v>0</v>
      </c>
      <c r="S49" s="33"/>
      <c r="T49" s="33"/>
      <c r="U49" s="39">
        <v>20475.830000000002</v>
      </c>
      <c r="V49" s="33"/>
      <c r="W49" s="33"/>
      <c r="X49" s="39">
        <v>0</v>
      </c>
      <c r="Y49" s="33"/>
      <c r="Z49" s="33"/>
      <c r="AA49" s="39">
        <v>0</v>
      </c>
      <c r="AB49" s="33"/>
      <c r="AC49" s="33"/>
      <c r="AD49" s="39">
        <v>13611.6</v>
      </c>
      <c r="AE49" s="33"/>
      <c r="AF49" s="33"/>
      <c r="AG49" s="39">
        <v>0</v>
      </c>
      <c r="AH49" s="33"/>
      <c r="AI49" s="33"/>
      <c r="AJ49" s="39">
        <v>0</v>
      </c>
      <c r="AK49" s="33"/>
      <c r="AL49" s="33"/>
      <c r="AM49" s="39">
        <v>0</v>
      </c>
      <c r="AN49" s="33"/>
      <c r="AO49" s="33"/>
      <c r="AP49" s="39">
        <v>0</v>
      </c>
      <c r="AQ49" s="33"/>
      <c r="AR49" s="33"/>
      <c r="AS49" s="126">
        <v>0</v>
      </c>
      <c r="AT49" s="39">
        <v>0</v>
      </c>
      <c r="AU49" s="33"/>
      <c r="AV49" s="39">
        <f>2575+764.13</f>
        <v>3339.13</v>
      </c>
      <c r="AW49" s="33"/>
    </row>
    <row r="50" spans="1:49" ht="8.1" customHeight="1" x14ac:dyDescent="0.25">
      <c r="G50" s="33"/>
      <c r="H50" s="33"/>
      <c r="I50" s="33"/>
      <c r="J50" s="162">
        <f>AVERAGE(AA50+AD50)</f>
        <v>0</v>
      </c>
      <c r="K50" s="33"/>
      <c r="L50" s="41"/>
      <c r="M50" s="33"/>
      <c r="N50" s="33"/>
      <c r="O50" s="41"/>
      <c r="P50" s="33"/>
      <c r="Q50" s="33"/>
      <c r="R50" s="41"/>
      <c r="S50" s="33"/>
      <c r="T50" s="33"/>
      <c r="U50" s="41"/>
      <c r="V50" s="33"/>
      <c r="W50" s="33"/>
      <c r="X50" s="41"/>
      <c r="Y50" s="33"/>
      <c r="Z50" s="33"/>
      <c r="AA50" s="41"/>
      <c r="AB50" s="33"/>
      <c r="AC50" s="33"/>
      <c r="AD50" s="41"/>
      <c r="AE50" s="33"/>
      <c r="AF50" s="33"/>
      <c r="AG50" s="41"/>
      <c r="AH50" s="33"/>
      <c r="AI50" s="33"/>
      <c r="AJ50" s="41"/>
      <c r="AK50" s="33"/>
      <c r="AL50" s="33"/>
      <c r="AM50" s="41"/>
      <c r="AN50" s="33"/>
      <c r="AO50" s="33"/>
      <c r="AP50" s="41"/>
      <c r="AQ50" s="33"/>
      <c r="AR50" s="33"/>
      <c r="AS50" s="42"/>
      <c r="AT50" s="148"/>
      <c r="AU50" s="33"/>
      <c r="AV50" s="41"/>
      <c r="AW50" s="33"/>
    </row>
    <row r="51" spans="1:49" ht="8.1" customHeight="1" x14ac:dyDescent="0.25">
      <c r="G51" s="35"/>
      <c r="H51" s="35"/>
      <c r="I51" s="35"/>
      <c r="J51" s="155"/>
      <c r="K51" s="35"/>
      <c r="L51" s="33"/>
      <c r="M51" s="35"/>
      <c r="N51" s="35"/>
      <c r="O51" s="33"/>
      <c r="P51" s="35"/>
      <c r="Q51" s="35"/>
      <c r="R51" s="33"/>
      <c r="S51" s="35"/>
      <c r="T51" s="35"/>
      <c r="U51" s="33"/>
      <c r="V51" s="35"/>
      <c r="W51" s="35"/>
      <c r="X51" s="33"/>
      <c r="Y51" s="35"/>
      <c r="Z51" s="35"/>
      <c r="AA51" s="33"/>
      <c r="AB51" s="35"/>
      <c r="AC51" s="35"/>
      <c r="AD51" s="33"/>
      <c r="AE51" s="35"/>
      <c r="AF51" s="35"/>
      <c r="AG51" s="33"/>
      <c r="AH51" s="35"/>
      <c r="AI51" s="35"/>
      <c r="AJ51" s="33"/>
      <c r="AK51" s="35"/>
      <c r="AL51" s="35"/>
      <c r="AM51" s="33"/>
      <c r="AN51" s="35"/>
      <c r="AO51" s="35"/>
      <c r="AP51" s="33"/>
      <c r="AQ51" s="35"/>
      <c r="AR51" s="35"/>
      <c r="AS51" s="43"/>
      <c r="AT51" s="33"/>
      <c r="AU51" s="33"/>
      <c r="AV51" s="33"/>
      <c r="AW51" s="33"/>
    </row>
    <row r="52" spans="1:49" ht="8.1" customHeight="1" x14ac:dyDescent="0.25">
      <c r="G52" s="33"/>
      <c r="H52" s="33"/>
      <c r="I52" s="33"/>
      <c r="J52" s="155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</row>
    <row r="53" spans="1:49" ht="8.1" customHeight="1" x14ac:dyDescent="0.25">
      <c r="A53" s="2"/>
      <c r="G53" s="33"/>
      <c r="H53" s="33"/>
      <c r="I53" s="33"/>
      <c r="J53" s="164"/>
      <c r="K53" s="33"/>
      <c r="L53" s="116"/>
      <c r="M53" s="33"/>
      <c r="N53" s="33"/>
      <c r="O53" s="116"/>
      <c r="P53" s="33"/>
      <c r="Q53" s="33"/>
      <c r="R53" s="116"/>
      <c r="S53" s="33"/>
      <c r="T53" s="33"/>
      <c r="U53" s="116"/>
      <c r="V53" s="33"/>
      <c r="W53" s="33"/>
      <c r="X53" s="116"/>
      <c r="Y53" s="33"/>
      <c r="Z53" s="33"/>
      <c r="AA53" s="116"/>
      <c r="AB53" s="33"/>
      <c r="AC53" s="33"/>
      <c r="AD53" s="116"/>
      <c r="AE53" s="33"/>
      <c r="AF53" s="33"/>
      <c r="AG53" s="116"/>
      <c r="AH53" s="33"/>
      <c r="AI53" s="33"/>
      <c r="AJ53" s="116"/>
      <c r="AK53" s="33"/>
      <c r="AL53" s="33"/>
      <c r="AM53" s="116"/>
      <c r="AN53" s="33"/>
      <c r="AO53" s="33"/>
      <c r="AP53" s="116"/>
      <c r="AQ53" s="33"/>
      <c r="AR53" s="33"/>
      <c r="AS53" s="33"/>
      <c r="AT53" s="116"/>
      <c r="AU53" s="33"/>
      <c r="AV53" s="116"/>
      <c r="AW53" s="33"/>
    </row>
    <row r="54" spans="1:49" ht="8.1" customHeight="1" x14ac:dyDescent="0.25">
      <c r="A54" s="2"/>
      <c r="G54" s="33"/>
      <c r="H54" s="33"/>
      <c r="I54" s="33"/>
      <c r="J54" s="165"/>
      <c r="K54" s="33"/>
      <c r="L54" s="117"/>
      <c r="M54" s="33"/>
      <c r="N54" s="33"/>
      <c r="O54" s="117"/>
      <c r="P54" s="33"/>
      <c r="Q54" s="33"/>
      <c r="R54" s="117"/>
      <c r="S54" s="33"/>
      <c r="T54" s="33"/>
      <c r="U54" s="117"/>
      <c r="V54" s="33"/>
      <c r="W54" s="33"/>
      <c r="X54" s="117"/>
      <c r="Y54" s="33"/>
      <c r="Z54" s="33"/>
      <c r="AA54" s="117"/>
      <c r="AB54" s="33"/>
      <c r="AC54" s="33"/>
      <c r="AD54" s="117"/>
      <c r="AE54" s="33"/>
      <c r="AF54" s="33"/>
      <c r="AG54" s="117"/>
      <c r="AH54" s="33"/>
      <c r="AI54" s="33"/>
      <c r="AJ54" s="117"/>
      <c r="AK54" s="33"/>
      <c r="AL54" s="33"/>
      <c r="AM54" s="117"/>
      <c r="AN54" s="33"/>
      <c r="AO54" s="33"/>
      <c r="AP54" s="117"/>
      <c r="AQ54" s="33"/>
      <c r="AR54" s="33"/>
      <c r="AS54" s="43"/>
      <c r="AT54" s="117"/>
      <c r="AU54" s="33"/>
      <c r="AV54" s="117"/>
      <c r="AW54" s="33"/>
    </row>
    <row r="55" spans="1:49" ht="27" customHeight="1" x14ac:dyDescent="0.25">
      <c r="A55" s="2" t="s">
        <v>60</v>
      </c>
      <c r="B55" s="2"/>
      <c r="G55" s="33"/>
      <c r="H55" s="33"/>
      <c r="I55" s="33"/>
      <c r="J55" s="166">
        <f>J11+J21-J31</f>
        <v>57172.49</v>
      </c>
      <c r="K55" s="33"/>
      <c r="L55" s="144">
        <f>L11+L21-L31</f>
        <v>39300.300000000003</v>
      </c>
      <c r="M55" s="33"/>
      <c r="N55" s="33"/>
      <c r="O55" s="144">
        <f>O11+O21-O31</f>
        <v>75044.679999999993</v>
      </c>
      <c r="P55" s="33"/>
      <c r="Q55" s="33"/>
      <c r="R55" s="144">
        <f>R11+R21-R31</f>
        <v>-19466.550000000047</v>
      </c>
      <c r="S55" s="33"/>
      <c r="T55" s="33"/>
      <c r="U55" s="144">
        <f>U11+U21-U31</f>
        <v>314156.18</v>
      </c>
      <c r="V55" s="33"/>
      <c r="W55" s="33"/>
      <c r="X55" s="144">
        <f>X11+X21-X31</f>
        <v>241059.66</v>
      </c>
      <c r="Y55" s="33"/>
      <c r="Z55" s="33"/>
      <c r="AA55" s="144">
        <f>AA11+AA21-AA31</f>
        <v>81773.05</v>
      </c>
      <c r="AB55" s="33"/>
      <c r="AC55" s="33"/>
      <c r="AD55" s="144">
        <f>AD11+AD21-AD31</f>
        <v>-120680.94</v>
      </c>
      <c r="AE55" s="33"/>
      <c r="AF55" s="33"/>
      <c r="AG55" s="144">
        <f>AG11+AG21-AG31</f>
        <v>-829.40000000000009</v>
      </c>
      <c r="AH55" s="33"/>
      <c r="AI55" s="33"/>
      <c r="AJ55" s="144">
        <f>AJ11+AJ21-AJ31</f>
        <v>23619.08</v>
      </c>
      <c r="AK55" s="33"/>
      <c r="AL55" s="33"/>
      <c r="AM55" s="144">
        <f>AM11+AM21-AM31</f>
        <v>4336</v>
      </c>
      <c r="AN55" s="33"/>
      <c r="AO55" s="33"/>
      <c r="AP55" s="144">
        <f>AP11+AP21-AP31</f>
        <v>50299.41</v>
      </c>
      <c r="AQ55" s="33"/>
      <c r="AR55" s="33"/>
      <c r="AS55" s="144" t="e">
        <f>L15L24</f>
        <v>#NAME?</v>
      </c>
      <c r="AT55" s="144">
        <f>AT11+AT21-AT31</f>
        <v>133192.9</v>
      </c>
      <c r="AU55" s="144"/>
      <c r="AV55" s="144">
        <f>AV11+AV21-AV31</f>
        <v>456645.66999999993</v>
      </c>
      <c r="AW55" s="144"/>
    </row>
    <row r="56" spans="1:49" ht="27" customHeight="1" x14ac:dyDescent="0.25">
      <c r="A56" s="2" t="s">
        <v>59</v>
      </c>
      <c r="B56" s="2"/>
      <c r="G56" s="33"/>
      <c r="H56" s="33"/>
      <c r="I56" s="33"/>
      <c r="J56" s="166"/>
      <c r="K56" s="33"/>
      <c r="L56" s="144">
        <f>O57</f>
        <v>782504.06999999983</v>
      </c>
      <c r="M56" s="33"/>
      <c r="N56" s="33"/>
      <c r="O56" s="144">
        <f>R57</f>
        <v>707459.3899999999</v>
      </c>
      <c r="P56" s="33"/>
      <c r="Q56" s="33"/>
      <c r="R56" s="144">
        <f>U57</f>
        <v>726925.94</v>
      </c>
      <c r="S56" s="33"/>
      <c r="T56" s="33"/>
      <c r="U56" s="144">
        <f>X57</f>
        <v>412769.76</v>
      </c>
      <c r="V56" s="33"/>
      <c r="W56" s="33"/>
      <c r="X56" s="144">
        <f>AA57</f>
        <v>171710.10000000003</v>
      </c>
      <c r="Y56" s="33"/>
      <c r="Z56" s="33"/>
      <c r="AA56" s="144">
        <f>AD57</f>
        <v>89937.050000000017</v>
      </c>
      <c r="AB56" s="33"/>
      <c r="AC56" s="33"/>
      <c r="AD56" s="144">
        <f>AG57</f>
        <v>210617.99000000002</v>
      </c>
      <c r="AE56" s="33"/>
      <c r="AF56" s="33"/>
      <c r="AG56" s="144">
        <f>AJ57</f>
        <v>211447.39</v>
      </c>
      <c r="AH56" s="33"/>
      <c r="AI56" s="33"/>
      <c r="AJ56" s="144">
        <f>AM57</f>
        <v>187828.31</v>
      </c>
      <c r="AK56" s="33"/>
      <c r="AL56" s="33"/>
      <c r="AM56" s="144">
        <f>AP57</f>
        <v>183492.31</v>
      </c>
      <c r="AN56" s="33"/>
      <c r="AO56" s="33"/>
      <c r="AP56" s="144">
        <f>AT57</f>
        <v>133192.9</v>
      </c>
      <c r="AQ56" s="33"/>
      <c r="AR56" s="33"/>
      <c r="AS56" s="144"/>
      <c r="AT56" s="144">
        <v>0</v>
      </c>
      <c r="AU56" s="144"/>
      <c r="AV56" s="144">
        <v>527409.44999999995</v>
      </c>
      <c r="AW56" s="144"/>
    </row>
    <row r="57" spans="1:49" ht="27" customHeight="1" thickBot="1" x14ac:dyDescent="0.3">
      <c r="A57" s="2" t="s">
        <v>61</v>
      </c>
      <c r="B57" s="2"/>
      <c r="G57" s="33"/>
      <c r="H57" s="33"/>
      <c r="I57" s="33"/>
      <c r="J57" s="167">
        <f>J55+J56</f>
        <v>57172.49</v>
      </c>
      <c r="K57" s="33"/>
      <c r="L57" s="145">
        <f>L55+L56</f>
        <v>821804.36999999988</v>
      </c>
      <c r="M57" s="33"/>
      <c r="N57" s="33"/>
      <c r="O57" s="145">
        <f>O55+O56</f>
        <v>782504.06999999983</v>
      </c>
      <c r="P57" s="33"/>
      <c r="Q57" s="33"/>
      <c r="R57" s="145">
        <f>R55+R56</f>
        <v>707459.3899999999</v>
      </c>
      <c r="S57" s="33"/>
      <c r="T57" s="33"/>
      <c r="U57" s="145">
        <f>U55+U56</f>
        <v>726925.94</v>
      </c>
      <c r="V57" s="33"/>
      <c r="W57" s="33"/>
      <c r="X57" s="145">
        <f>X55+X56</f>
        <v>412769.76</v>
      </c>
      <c r="Y57" s="33"/>
      <c r="Z57" s="33"/>
      <c r="AA57" s="145">
        <f>AA55+AA56</f>
        <v>171710.10000000003</v>
      </c>
      <c r="AB57" s="33"/>
      <c r="AC57" s="33"/>
      <c r="AD57" s="145">
        <f>AD55+AD56</f>
        <v>89937.050000000017</v>
      </c>
      <c r="AE57" s="33"/>
      <c r="AF57" s="33"/>
      <c r="AG57" s="145">
        <f>AG55+AG56</f>
        <v>210617.99000000002</v>
      </c>
      <c r="AH57" s="33"/>
      <c r="AI57" s="33"/>
      <c r="AJ57" s="145">
        <f>AJ55+AJ56</f>
        <v>211447.39</v>
      </c>
      <c r="AK57" s="33"/>
      <c r="AL57" s="33"/>
      <c r="AM57" s="145">
        <f>AM55+AM56</f>
        <v>187828.31</v>
      </c>
      <c r="AN57" s="33"/>
      <c r="AO57" s="33"/>
      <c r="AP57" s="145">
        <f>AP55+AP56</f>
        <v>183492.31</v>
      </c>
      <c r="AQ57" s="33"/>
      <c r="AR57" s="33"/>
      <c r="AS57" s="144"/>
      <c r="AT57" s="145">
        <f>AT55+AT56</f>
        <v>133192.9</v>
      </c>
      <c r="AU57" s="144"/>
      <c r="AV57" s="145">
        <f>AV55+AV56</f>
        <v>984055.11999999988</v>
      </c>
      <c r="AW57" s="144"/>
    </row>
    <row r="58" spans="1:49" ht="8.1" customHeight="1" thickTop="1" thickBot="1" x14ac:dyDescent="0.3">
      <c r="G58" s="45"/>
      <c r="H58" s="45"/>
      <c r="I58" s="45"/>
      <c r="J58" s="32"/>
      <c r="K58" s="45"/>
      <c r="L58" s="32"/>
      <c r="M58" s="45"/>
      <c r="N58" s="45"/>
      <c r="O58" s="32"/>
      <c r="P58" s="45"/>
      <c r="Q58" s="45"/>
      <c r="R58" s="32"/>
      <c r="S58" s="45"/>
      <c r="T58" s="45"/>
      <c r="U58" s="32"/>
      <c r="V58" s="45"/>
      <c r="W58" s="45"/>
      <c r="X58" s="32"/>
      <c r="Y58" s="45"/>
      <c r="Z58" s="45"/>
      <c r="AA58" s="32"/>
      <c r="AB58" s="45"/>
      <c r="AC58" s="45"/>
      <c r="AD58" s="32"/>
      <c r="AE58" s="45"/>
      <c r="AF58" s="45"/>
      <c r="AG58" s="32"/>
      <c r="AH58" s="45"/>
      <c r="AI58" s="45"/>
      <c r="AJ58" s="32"/>
      <c r="AK58" s="45"/>
      <c r="AL58" s="45"/>
      <c r="AM58" s="32"/>
      <c r="AN58" s="45"/>
      <c r="AO58" s="45"/>
      <c r="AP58" s="32"/>
      <c r="AQ58" s="45"/>
      <c r="AR58" s="45"/>
      <c r="AS58" s="32"/>
      <c r="AT58" s="114"/>
      <c r="AU58" s="33"/>
      <c r="AV58" s="114"/>
      <c r="AW58" s="33"/>
    </row>
    <row r="59" spans="1:49" ht="8.1" customHeight="1" thickTop="1" x14ac:dyDescent="0.25">
      <c r="G59" s="45"/>
      <c r="H59" s="45"/>
      <c r="I59" s="45"/>
      <c r="J59" s="33"/>
      <c r="K59" s="45"/>
      <c r="L59" s="33"/>
      <c r="M59" s="45"/>
      <c r="N59" s="45"/>
      <c r="O59" s="33"/>
      <c r="P59" s="45"/>
      <c r="Q59" s="45"/>
      <c r="R59" s="33"/>
      <c r="S59" s="45"/>
      <c r="T59" s="45"/>
      <c r="U59" s="33"/>
      <c r="V59" s="45"/>
      <c r="W59" s="45"/>
      <c r="X59" s="33"/>
      <c r="Y59" s="45"/>
      <c r="Z59" s="45"/>
      <c r="AA59" s="33"/>
      <c r="AB59" s="45"/>
      <c r="AC59" s="45"/>
      <c r="AD59" s="33"/>
      <c r="AE59" s="45"/>
      <c r="AF59" s="45"/>
      <c r="AG59" s="33"/>
      <c r="AH59" s="45"/>
      <c r="AI59" s="45"/>
      <c r="AJ59" s="33"/>
      <c r="AK59" s="45"/>
      <c r="AL59" s="45"/>
      <c r="AM59" s="33"/>
      <c r="AN59" s="45"/>
      <c r="AO59" s="45"/>
      <c r="AP59" s="33"/>
      <c r="AQ59" s="45"/>
      <c r="AR59" s="45"/>
      <c r="AS59" s="33"/>
      <c r="AT59" s="33"/>
      <c r="AU59" s="33"/>
      <c r="AV59" s="33"/>
      <c r="AW59" s="33"/>
    </row>
    <row r="60" spans="1:49" ht="21.75" customHeight="1" x14ac:dyDescent="0.25"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146"/>
      <c r="AV60" s="21"/>
      <c r="AW60" s="21"/>
    </row>
    <row r="61" spans="1:49" ht="21.75" customHeight="1" x14ac:dyDescent="0.25">
      <c r="B61" s="124"/>
      <c r="G61" s="21"/>
      <c r="H61" s="21"/>
      <c r="I61" s="21"/>
      <c r="J61" s="21"/>
      <c r="K61" s="21"/>
      <c r="L61" s="35"/>
      <c r="M61" s="21"/>
      <c r="N61" s="21"/>
      <c r="O61" s="35"/>
      <c r="P61" s="21"/>
      <c r="Q61" s="21"/>
      <c r="R61" s="35"/>
      <c r="S61" s="21"/>
      <c r="T61" s="21"/>
      <c r="U61" s="35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146"/>
      <c r="AV61" s="21"/>
      <c r="AW61" s="21"/>
    </row>
    <row r="62" spans="1:49" ht="21.75" customHeight="1" x14ac:dyDescent="0.25">
      <c r="J62" s="21"/>
      <c r="L62" s="20"/>
      <c r="O62" s="20"/>
      <c r="R62" s="20"/>
      <c r="U62" s="20"/>
    </row>
    <row r="63" spans="1:49" ht="21.75" customHeight="1" x14ac:dyDescent="0.25">
      <c r="L63" s="20"/>
      <c r="O63" s="20"/>
    </row>
    <row r="64" spans="1:49" ht="21.75" customHeight="1" x14ac:dyDescent="0.25">
      <c r="L64" s="20"/>
      <c r="O64" s="20"/>
    </row>
    <row r="65" ht="21.75" customHeight="1" x14ac:dyDescent="0.25"/>
  </sheetData>
  <phoneticPr fontId="5" type="noConversion"/>
  <pageMargins left="0.28000000000000003" right="0.28000000000000003" top="0.51" bottom="0.55000000000000004" header="0.51" footer="0.51"/>
  <pageSetup paperSize="9" scale="38" orientation="landscape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9"/>
  <sheetViews>
    <sheetView workbookViewId="0">
      <selection activeCell="B21" sqref="B21"/>
    </sheetView>
  </sheetViews>
  <sheetFormatPr defaultColWidth="11.42578125" defaultRowHeight="12.75" x14ac:dyDescent="0.2"/>
  <sheetData>
    <row r="1" spans="1:2" x14ac:dyDescent="0.2">
      <c r="A1" t="s">
        <v>97</v>
      </c>
    </row>
    <row r="3" spans="1:2" x14ac:dyDescent="0.2">
      <c r="A3">
        <v>1</v>
      </c>
      <c r="B3" s="172" t="s">
        <v>98</v>
      </c>
    </row>
    <row r="4" spans="1:2" x14ac:dyDescent="0.2">
      <c r="B4" t="s">
        <v>104</v>
      </c>
    </row>
    <row r="6" spans="1:2" x14ac:dyDescent="0.2">
      <c r="A6">
        <v>2</v>
      </c>
      <c r="B6" t="s">
        <v>105</v>
      </c>
    </row>
    <row r="7" spans="1:2" x14ac:dyDescent="0.2">
      <c r="B7" t="s">
        <v>99</v>
      </c>
    </row>
    <row r="8" spans="1:2" x14ac:dyDescent="0.2">
      <c r="B8" t="s">
        <v>106</v>
      </c>
    </row>
    <row r="11" spans="1:2" x14ac:dyDescent="0.2">
      <c r="A11">
        <v>3</v>
      </c>
      <c r="B11" t="s">
        <v>100</v>
      </c>
    </row>
    <row r="13" spans="1:2" x14ac:dyDescent="0.2">
      <c r="A13">
        <v>4</v>
      </c>
      <c r="B13" t="s">
        <v>101</v>
      </c>
    </row>
    <row r="14" spans="1:2" x14ac:dyDescent="0.2">
      <c r="B14" t="s">
        <v>102</v>
      </c>
    </row>
    <row r="16" spans="1:2" x14ac:dyDescent="0.2">
      <c r="A16">
        <v>5</v>
      </c>
      <c r="B16" t="s">
        <v>103</v>
      </c>
    </row>
    <row r="18" spans="1:2" x14ac:dyDescent="0.2">
      <c r="A18">
        <v>6</v>
      </c>
      <c r="B18" t="s">
        <v>107</v>
      </c>
    </row>
    <row r="19" spans="1:2" x14ac:dyDescent="0.2">
      <c r="B19" t="s">
        <v>108</v>
      </c>
    </row>
  </sheetData>
  <phoneticPr fontId="4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AFEA7332473A43AD3CD3C4AC5D758E" ma:contentTypeVersion="8" ma:contentTypeDescription="Create a new document." ma:contentTypeScope="" ma:versionID="3d7aa072657058481ee8417a3cd5bdbd">
  <xsd:schema xmlns:xsd="http://www.w3.org/2001/XMLSchema" xmlns:xs="http://www.w3.org/2001/XMLSchema" xmlns:p="http://schemas.microsoft.com/office/2006/metadata/properties" xmlns:ns2="3c643f26-bf68-496a-a57a-b299f8be2c54" xmlns:ns3="b5132f90-a5cc-42f3-810f-42ce6fa1832d" targetNamespace="http://schemas.microsoft.com/office/2006/metadata/properties" ma:root="true" ma:fieldsID="6137f10a8683732ce4a380347cfc7407" ns2:_="" ns3:_="">
    <xsd:import namespace="3c643f26-bf68-496a-a57a-b299f8be2c54"/>
    <xsd:import namespace="b5132f90-a5cc-42f3-810f-42ce6fa1832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643f26-bf68-496a-a57a-b299f8be2c5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32f90-a5cc-42f3-810f-42ce6fa183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5" nillable="true" ma:displayName="Sign-off status" ma:internalName="_x0024_Resources_x003a_core_x002c_Signoff_Status_x003b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b5132f90-a5cc-42f3-810f-42ce6fa1832d" xsi:nil="true"/>
  </documentManagement>
</p:properties>
</file>

<file path=customXml/itemProps1.xml><?xml version="1.0" encoding="utf-8"?>
<ds:datastoreItem xmlns:ds="http://schemas.openxmlformats.org/officeDocument/2006/customXml" ds:itemID="{17E05666-7372-42A9-AFB5-79CE1D35D5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643f26-bf68-496a-a57a-b299f8be2c54"/>
    <ds:schemaRef ds:uri="b5132f90-a5cc-42f3-810f-42ce6fa183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A962CA-378D-9B4C-877F-2E343F312377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14A119DA-1B7E-FF44-84F8-4DE7D76B328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581C77E-A529-D04B-87DC-2EC73459AD14}">
  <ds:schemaRefs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b5132f90-a5cc-42f3-810f-42ce6fa1832d"/>
    <ds:schemaRef ds:uri="3c643f26-bf68-496a-a57a-b299f8be2c54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Sheet2</vt:lpstr>
      <vt:lpstr>Front Page</vt:lpstr>
      <vt:lpstr>Balance Sheet</vt:lpstr>
      <vt:lpstr>Income Statement</vt:lpstr>
      <vt:lpstr>Sheet1</vt:lpstr>
      <vt:lpstr>'Balance Sheet'!Print_Area</vt:lpstr>
      <vt:lpstr>'Front Page'!Print_Area</vt:lpstr>
      <vt:lpstr>'Income Statement'!Print_Area</vt:lpstr>
    </vt:vector>
  </TitlesOfParts>
  <Company>Wilgers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Fransie</dc:creator>
  <cp:lastModifiedBy>Liezl Slump</cp:lastModifiedBy>
  <cp:lastPrinted>2019-02-26T11:01:59Z</cp:lastPrinted>
  <dcterms:created xsi:type="dcterms:W3CDTF">1999-04-09T08:49:29Z</dcterms:created>
  <dcterms:modified xsi:type="dcterms:W3CDTF">2022-05-06T09:50:32Z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18400.0000000000</vt:lpwstr>
  </property>
</Properties>
</file>